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60" windowWidth="13245" windowHeight="4380" tabRatio="642" activeTab="0"/>
  </bookViews>
  <sheets>
    <sheet name="Core" sheetId="1" r:id="rId1"/>
    <sheet name="Renewal Profile" sheetId="2" r:id="rId2"/>
  </sheets>
  <definedNames>
    <definedName name="_xlnm.Print_Area" localSheetId="0">'Core'!$A$1:$AE$48</definedName>
    <definedName name="Z_AAF50503_E7DA_4338_98B7_9EA0BA8DBDEF_.wvu.PrintArea" localSheetId="0" hidden="1">'Core'!$A$1:$AE$48</definedName>
    <definedName name="Z_D7008AE7_3374_4F08_92D5_2BF98DA1B435_.wvu.PrintArea" localSheetId="0" hidden="1">'Core'!$A$1:$AE$48</definedName>
    <definedName name="Z_E2BE94AF_A2A3_4253_9DAD_3097856F6D01_.wvu.PrintArea" localSheetId="0" hidden="1">'Core'!$A$1:$AE$48</definedName>
  </definedNames>
  <calcPr fullCalcOnLoad="1"/>
</workbook>
</file>

<file path=xl/comments1.xml><?xml version="1.0" encoding="utf-8"?>
<comments xmlns="http://schemas.openxmlformats.org/spreadsheetml/2006/main">
  <authors>
    <author>GHD</author>
    <author>Jkern02</author>
    <author>Duncan Rose</author>
    <author>D. Anne Thundercloud</author>
  </authors>
  <commentList>
    <comment ref="R4" authorId="0">
      <text>
        <r>
          <rPr>
            <b/>
            <sz val="9"/>
            <rFont val="Tahoma"/>
            <family val="0"/>
          </rPr>
          <t xml:space="preserve">Recommended Renewal Date:
Consider the original planned replacement date.  Factor in the condition rating and the BRE.  Insert appropriate date.
</t>
        </r>
      </text>
    </comment>
    <comment ref="L4" authorId="0">
      <text>
        <r>
          <rPr>
            <b/>
            <sz val="9"/>
            <rFont val="Tahoma"/>
            <family val="0"/>
          </rPr>
          <t xml:space="preserve">Redundancy:
Make allowance for the Level of Redundancy .Reduce PoF by:
50% Backup 50%
100% Backup 90%
200% Secondary Backup 98%
</t>
        </r>
      </text>
    </comment>
    <comment ref="I4" authorId="0">
      <text>
        <r>
          <rPr>
            <b/>
            <sz val="9"/>
            <rFont val="Tahoma"/>
            <family val="0"/>
          </rPr>
          <t>Estimated Effective Life:
(This is just a starting point)</t>
        </r>
        <r>
          <rPr>
            <b/>
            <sz val="9"/>
            <rFont val="Tahoma"/>
            <family val="0"/>
          </rPr>
          <t xml:space="preserve">
Effective  Lives (Years) 
Asset Type Average         Effective Lives
Civil Structures                           75
Pressure Pipe work                     60
Sewers – Gravity Pipe work.       100
Mechanical                                 40
Electrical Motors  (large)              35
Other Electrical                           30
Controls                                     25
Building Assets                            60</t>
        </r>
        <r>
          <rPr>
            <b/>
            <sz val="9"/>
            <rFont val="Tahoma"/>
            <family val="0"/>
          </rPr>
          <t xml:space="preserve">
</t>
        </r>
      </text>
    </comment>
    <comment ref="G4" authorId="0">
      <text>
        <r>
          <rPr>
            <b/>
            <sz val="9"/>
            <rFont val="Tahoma"/>
            <family val="0"/>
          </rPr>
          <t>Installed Date:</t>
        </r>
        <r>
          <rPr>
            <b/>
            <sz val="9"/>
            <rFont val="Tahoma"/>
            <family val="0"/>
          </rPr>
          <t xml:space="preserve">
Set the date you believe  the asset was first put into service.</t>
        </r>
      </text>
    </comment>
    <comment ref="S4" authorId="1">
      <text>
        <r>
          <rPr>
            <b/>
            <sz val="9"/>
            <rFont val="Tahoma"/>
            <family val="0"/>
          </rPr>
          <t>Future Value of Renewal costs - Using the interst rate below, the future value of the renewal cost is calculated.  This is then placed in the appropriate column in the Renewal Program Funding Strategy columns to the right.</t>
        </r>
      </text>
    </comment>
    <comment ref="P4" authorId="1">
      <text>
        <r>
          <rPr>
            <b/>
            <sz val="9"/>
            <rFont val="Tahoma"/>
            <family val="0"/>
          </rPr>
          <t>Record in this column your decision on what will be done at the expected end of the asset's life.   You may decide to increase maintenance, repair, rehabilitate, or replace.  See the next row down for more options.</t>
        </r>
      </text>
    </comment>
    <comment ref="H4" authorId="2">
      <text>
        <r>
          <rPr>
            <b/>
            <sz val="9"/>
            <rFont val="Tahoma"/>
            <family val="0"/>
          </rPr>
          <t xml:space="preserve">Original Cost:
</t>
        </r>
        <r>
          <rPr>
            <b/>
            <sz val="9"/>
            <rFont val="Tahoma"/>
            <family val="0"/>
          </rPr>
          <t xml:space="preserve">These costs </t>
        </r>
        <r>
          <rPr>
            <b/>
            <sz val="9"/>
            <rFont val="Tahoma"/>
            <family val="0"/>
          </rPr>
          <t>could</t>
        </r>
        <r>
          <rPr>
            <b/>
            <sz val="9"/>
            <rFont val="Tahoma"/>
            <family val="0"/>
          </rPr>
          <t xml:space="preserve"> be estimated by using current renewal/replacement costs deflated back to year of acquisition using a construction CPI.</t>
        </r>
        <r>
          <rPr>
            <b/>
            <sz val="9"/>
            <rFont val="Tahoma"/>
            <family val="0"/>
          </rPr>
          <t xml:space="preserve">
</t>
        </r>
        <r>
          <rPr>
            <b/>
            <sz val="9"/>
            <rFont val="Tahoma"/>
            <family val="0"/>
          </rPr>
          <t>original costs = current costs  x (1 / ((1+i)^n))</t>
        </r>
      </text>
    </comment>
    <comment ref="Q4" authorId="3">
      <text>
        <r>
          <rPr>
            <b/>
            <sz val="9"/>
            <rFont val="Tahoma"/>
            <family val="0"/>
          </rPr>
          <t xml:space="preserve">Cost of Renewal Option:
For this column you need to use your best valued judgement. Prepare cost estimates in current $ and only for what will be accomplished during the "planning timeframe" of the analysis (in this example, 20 years).
Use the best information you can get including :
engineering estimators, manufacturers &amp; agents &amp; your knowledgeable staff &amp; construction contractors (ask them for a price)
The spreadsheet will take this value and do two things with it.
1.  It will calculate a future value based on the interest rate posted and the recommended renewal date in the next column.
2.  It will place that future value in the appropriate column to the left under the Renewal Program Funding Strategy.
Consequently, the only value that should be placed in this column is the one time capital cost to rehabilitate or replace the asset.
If you have selected increased maintenance which will increase annual O&amp;M cost, you will need to reflect that additional costs in the O&amp;M line item below. (See Cell T44 below)
</t>
        </r>
      </text>
    </comment>
  </commentList>
</comments>
</file>

<file path=xl/sharedStrings.xml><?xml version="1.0" encoding="utf-8"?>
<sst xmlns="http://schemas.openxmlformats.org/spreadsheetml/2006/main" count="142" uniqueCount="115">
  <si>
    <t>Years</t>
  </si>
  <si>
    <t>Condition Rating</t>
  </si>
  <si>
    <t>%</t>
  </si>
  <si>
    <t>Probability of Failure</t>
  </si>
  <si>
    <t>Consequence of Failure</t>
  </si>
  <si>
    <t>1 to 10</t>
  </si>
  <si>
    <t>Backup Reduction (Redundancy)</t>
  </si>
  <si>
    <t>Act or Est</t>
  </si>
  <si>
    <t>Estimate</t>
  </si>
  <si>
    <t>Which Are Most "Critical"?</t>
  </si>
  <si>
    <t>Treatment Plant</t>
  </si>
  <si>
    <t>Wastewater System</t>
  </si>
  <si>
    <t>Headworks</t>
  </si>
  <si>
    <t>Clarifiers</t>
  </si>
  <si>
    <t>Current Value</t>
  </si>
  <si>
    <t>Budget Strategy</t>
  </si>
  <si>
    <t>Comments</t>
  </si>
  <si>
    <t>Levels</t>
  </si>
  <si>
    <t>Asset Inventory</t>
  </si>
  <si>
    <t>2. O&amp;M</t>
  </si>
  <si>
    <t>3. Total Cash Needs  (1+2)</t>
  </si>
  <si>
    <t>6. New Annual Debt to retire</t>
  </si>
  <si>
    <t xml:space="preserve">7. Past Debt retirement </t>
  </si>
  <si>
    <t>8. Total Budget need (4+6+7)</t>
  </si>
  <si>
    <t>11. Actual User Charge</t>
  </si>
  <si>
    <t>12. Surplus / Deficit  (11-10)</t>
  </si>
  <si>
    <t>Cost of Renewal  / Replacement Option</t>
  </si>
  <si>
    <t>Future Value of Renewal / Replacement Cost</t>
  </si>
  <si>
    <t>5. Total to borrow*  (3-4)</t>
  </si>
  <si>
    <t>1. Renewal / Replace Costs</t>
  </si>
  <si>
    <t>4. Pay from current revenue (9x11)</t>
  </si>
  <si>
    <t>Effective Life</t>
  </si>
  <si>
    <t>Primaries</t>
  </si>
  <si>
    <t xml:space="preserve">Secondaries              </t>
  </si>
  <si>
    <t>Disinfection</t>
  </si>
  <si>
    <t>Collection System</t>
  </si>
  <si>
    <t>State of My Assets?</t>
  </si>
  <si>
    <t>Solids Handling</t>
  </si>
  <si>
    <t>Original Cost</t>
  </si>
  <si>
    <t>$</t>
  </si>
  <si>
    <t>13. Reserve Fund (Emergency Only)</t>
  </si>
  <si>
    <t>9. Number of Households</t>
  </si>
  <si>
    <t>10. Cost Per Household (8/9)</t>
  </si>
  <si>
    <t>Renewal  / Replacement Strategy</t>
  </si>
  <si>
    <t>Renewal  Program Funding Strategy</t>
  </si>
  <si>
    <t>Year Installed</t>
  </si>
  <si>
    <t>Original Planned Replacement Year</t>
  </si>
  <si>
    <t>Recommended Renewal / Replacement Year</t>
  </si>
  <si>
    <t>Disinfection (2)</t>
  </si>
  <si>
    <t>Adjusted per BRE</t>
  </si>
  <si>
    <t>o  Analysis of failure modes</t>
  </si>
  <si>
    <t>o  Emergency vs planned repairs</t>
  </si>
  <si>
    <t>o  Record of repair costs by asset</t>
  </si>
  <si>
    <t>o  Tie to Maint Mgmt Sys</t>
  </si>
  <si>
    <t>o  Use database system to allow more data and more manipulation</t>
  </si>
  <si>
    <t>o  Incorporate Env Mgmt Sys concepts to improve performance and save money</t>
  </si>
  <si>
    <t>Level of detail that asset inventory should provide:</t>
  </si>
  <si>
    <t>List assets to the level of detail that they would likely be replaced.  For</t>
  </si>
  <si>
    <t>be replaced or rehab at the same time.</t>
  </si>
  <si>
    <t xml:space="preserve">example, a system may choose to treat all pipe that is of a given age and material as a single asset if it would likely </t>
  </si>
  <si>
    <t>Additional Features that AM systems can provide:</t>
  </si>
  <si>
    <t>CI6.001</t>
  </si>
  <si>
    <t>CI6.002</t>
  </si>
  <si>
    <t>CI6.003</t>
  </si>
  <si>
    <t>CI10.001</t>
  </si>
  <si>
    <t>H(1-2)(.001-100)</t>
  </si>
  <si>
    <t>P(1-2)(.001-100)</t>
  </si>
  <si>
    <t>S(1-2)(.001-100)</t>
  </si>
  <si>
    <t>C(1-2)(.001-100)</t>
  </si>
  <si>
    <t>D1(.001)-100)</t>
  </si>
  <si>
    <t>D2(.001-100)</t>
  </si>
  <si>
    <t>S(.001-100)</t>
  </si>
  <si>
    <t>BRE
Rating</t>
  </si>
  <si>
    <t>* This asset list is abbreviated for display purposes, Assets are typically listed to the level of detail that lists individual components that would be replaced.</t>
  </si>
  <si>
    <t/>
  </si>
  <si>
    <t>Rel. to col. K</t>
  </si>
  <si>
    <t>(G+I)</t>
  </si>
  <si>
    <t>Piping (clay)</t>
  </si>
  <si>
    <t>Seg: 3A-1 (895' x 8")</t>
  </si>
  <si>
    <t>Seg: 3A-2 (976' x 8")</t>
  </si>
  <si>
    <t>Seg: 3A-3 (1015' x 10")</t>
  </si>
  <si>
    <t>Seg: 4A-1 (885' x 16")</t>
  </si>
  <si>
    <t>(10-K)</t>
  </si>
  <si>
    <t>(See AM Plan)</t>
  </si>
  <si>
    <t>Total Waste</t>
  </si>
  <si>
    <t>Seg: 4A-2 (1015' x 10")</t>
  </si>
  <si>
    <t>Seg: 4A-3 (667' x 8")</t>
  </si>
  <si>
    <t>Seg: 5A-2 (774' x 8")</t>
  </si>
  <si>
    <t>Seg: 5B-1 (927' x 8")</t>
  </si>
  <si>
    <t>Seg: 5A-1 (825' x 16")</t>
  </si>
  <si>
    <t>Seg: 6A-1 (818' x 12")</t>
  </si>
  <si>
    <t>Seg: 5B-2 (245' x 8")</t>
  </si>
  <si>
    <t>Seg: 6A-2 (912' x 10")</t>
  </si>
  <si>
    <t>Seg: 6A-3 (445' x 8")</t>
  </si>
  <si>
    <t>Seg: 6A-4 (225' x 8")</t>
  </si>
  <si>
    <t>Seg: 6A-5 (124' x 8")</t>
  </si>
  <si>
    <t>CI6.004</t>
  </si>
  <si>
    <t>CI6.005</t>
  </si>
  <si>
    <t>CI6.006</t>
  </si>
  <si>
    <t>CI10.002</t>
  </si>
  <si>
    <t>CI6.007</t>
  </si>
  <si>
    <t>CI6.008</t>
  </si>
  <si>
    <t>CI6.009</t>
  </si>
  <si>
    <t>CI10.003</t>
  </si>
  <si>
    <t>CI6.010</t>
  </si>
  <si>
    <t>CI6.011</t>
  </si>
  <si>
    <t>CI6.012</t>
  </si>
  <si>
    <t>Pennsylvania Water Authority Asset Management Spreadsheet</t>
  </si>
  <si>
    <t>=(1-L)*M*N</t>
  </si>
  <si>
    <t>**Drinking water and wastewater systems should use whatever numbering system is appropriate for their system.</t>
  </si>
  <si>
    <t>Asset Register *</t>
  </si>
  <si>
    <t>Discount Rate</t>
  </si>
  <si>
    <t>15. Borrowing Rate (Annual)</t>
  </si>
  <si>
    <t>14. O&amp;M Escalation (Annual)</t>
  </si>
  <si>
    <t>Asset Tag**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</si>
</sst>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quot;$&quot;* #,##0.0_-;_-&quot;$&quot;* &quot;-&quot;??_-;_-@_-"/>
    <numFmt numFmtId="173" formatCode="_-&quot;$&quot;* #,##0_-;\-&quot;$&quot;* #,##0_-;_-&quot;$&quot;* &quot;-&quot;??_-;_-@_-"/>
    <numFmt numFmtId="174" formatCode="&quot;$&quot;#,##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_(* #,##0.0_);_(* \(#,##0.0\);_(* &quot;-&quot;?_);_(@_)"/>
    <numFmt numFmtId="181" formatCode="_-* #,##0.0_-;\-* #,##0.0_-;_-* &quot;-&quot;??_-;_-@_-"/>
    <numFmt numFmtId="182" formatCode="_-* #,##0_-;\-* #,##0_-;_-* &quot;-&quot;??_-;_-@_-"/>
    <numFmt numFmtId="183" formatCode="0.0%"/>
    <numFmt numFmtId="184" formatCode="_-* #,##0.000_-;\-* #,##0.000_-;_-* &quot;-&quot;??_-;_-@_-"/>
    <numFmt numFmtId="185" formatCode="[$-409]dddd\,\ mmmm\ dd\,\ yyyy"/>
    <numFmt numFmtId="186" formatCode="&quot;$&quot;#,##0.00"/>
    <numFmt numFmtId="187" formatCode="\$#,##0"/>
    <numFmt numFmtId="188" formatCode="[$-409]h:mm:ss\ AM/PM"/>
    <numFmt numFmtId="189" formatCode="&quot;$&quot;#,##0.0"/>
    <numFmt numFmtId="190" formatCode="_(&quot;$&quot;* #,##0.0_);_(&quot;$&quot;* \(#,##0.0\);_(&quot;$&quot;* &quot;-&quot;?_);_(@_)"/>
    <numFmt numFmtId="191" formatCode="_(&quot;$&quot;* #,##0.000_);_(&quot;$&quot;* \(#,##0.000\);_(&quot;$&quot;* &quot;-&quot;???_);_(@_)"/>
  </numFmts>
  <fonts count="53">
    <font>
      <sz val="10"/>
      <name val="Arial"/>
      <family val="0"/>
    </font>
    <font>
      <b/>
      <i/>
      <sz val="16"/>
      <name val="Arial"/>
      <family val="2"/>
    </font>
    <font>
      <u val="single"/>
      <sz val="10"/>
      <color indexed="12"/>
      <name val="Arial"/>
      <family val="0"/>
    </font>
    <font>
      <u val="single"/>
      <sz val="10"/>
      <color indexed="36"/>
      <name val="Arial"/>
      <family val="0"/>
    </font>
    <font>
      <b/>
      <sz val="10"/>
      <color indexed="8"/>
      <name val="Arial"/>
      <family val="2"/>
    </font>
    <font>
      <sz val="10"/>
      <color indexed="8"/>
      <name val="Arial"/>
      <family val="2"/>
    </font>
    <font>
      <b/>
      <sz val="9"/>
      <color indexed="8"/>
      <name val="Arial"/>
      <family val="2"/>
    </font>
    <font>
      <b/>
      <sz val="11"/>
      <name val="Arial"/>
      <family val="0"/>
    </font>
    <font>
      <u val="single"/>
      <sz val="10"/>
      <name val="Arial"/>
      <family val="2"/>
    </font>
    <font>
      <b/>
      <sz val="9"/>
      <name val="Tahoma"/>
      <family val="0"/>
    </font>
    <font>
      <sz val="9"/>
      <name val="Arial"/>
      <family val="2"/>
    </font>
    <font>
      <sz val="9"/>
      <color indexed="8"/>
      <name val="Arial"/>
      <family val="2"/>
    </font>
    <font>
      <b/>
      <sz val="10"/>
      <name val="Arial"/>
      <family val="2"/>
    </font>
    <font>
      <sz val="8"/>
      <name val="Arial"/>
      <family val="2"/>
    </font>
    <font>
      <sz val="9.5"/>
      <color indexed="8"/>
      <name val="Arial"/>
      <family val="0"/>
    </font>
    <font>
      <sz val="8.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5"/>
      <color indexed="8"/>
      <name val="Arial"/>
      <family val="0"/>
    </font>
    <font>
      <b/>
      <sz val="11.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15"/>
        <bgColor indexed="64"/>
      </patternFill>
    </fill>
    <fill>
      <patternFill patternType="solid">
        <fgColor indexed="40"/>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indexed="5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22"/>
      </right>
      <top>
        <color indexed="63"/>
      </top>
      <bottom>
        <color indexed="63"/>
      </bottom>
    </border>
    <border>
      <left style="thin"/>
      <right style="thin"/>
      <top style="thin"/>
      <bottom style="thin"/>
    </border>
    <border>
      <left>
        <color indexed="63"/>
      </left>
      <right style="medium"/>
      <top style="medium"/>
      <bottom style="thin"/>
    </border>
    <border>
      <left>
        <color indexed="63"/>
      </left>
      <right style="medium"/>
      <top style="medium"/>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style="thin"/>
      <top style="thin"/>
      <bottom>
        <color indexed="63"/>
      </botto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thin"/>
      <top style="medium"/>
      <bottom>
        <color indexed="63"/>
      </bottom>
    </border>
    <border>
      <left style="medium"/>
      <right style="medium"/>
      <top>
        <color indexed="63"/>
      </top>
      <bottom style="medium"/>
    </border>
    <border>
      <left style="medium"/>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medium"/>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dotted"/>
    </border>
    <border>
      <left style="thin"/>
      <right style="thin"/>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7">
    <xf numFmtId="0" fontId="0" fillId="0" borderId="0" xfId="0" applyAlignment="1">
      <alignment/>
    </xf>
    <xf numFmtId="0" fontId="0" fillId="0" borderId="0" xfId="0" applyAlignment="1" applyProtection="1">
      <alignment/>
      <protection locked="0"/>
    </xf>
    <xf numFmtId="1" fontId="0" fillId="0" borderId="0" xfId="0" applyNumberFormat="1" applyAlignment="1" applyProtection="1">
      <alignment/>
      <protection locked="0"/>
    </xf>
    <xf numFmtId="0" fontId="0" fillId="0" borderId="0" xfId="0" applyFill="1" applyAlignment="1" applyProtection="1">
      <alignment/>
      <protection locked="0"/>
    </xf>
    <xf numFmtId="0" fontId="0" fillId="0" borderId="0" xfId="0" applyBorder="1" applyAlignment="1">
      <alignment horizontal="center" vertical="center" textRotation="90" wrapText="1"/>
    </xf>
    <xf numFmtId="186" fontId="0" fillId="0" borderId="0" xfId="0" applyNumberFormat="1" applyFill="1" applyBorder="1" applyAlignment="1" applyProtection="1">
      <alignment/>
      <protection locked="0"/>
    </xf>
    <xf numFmtId="173" fontId="0" fillId="0" borderId="0" xfId="44" applyNumberFormat="1" applyFont="1" applyAlignment="1" applyProtection="1">
      <alignment/>
      <protection locked="0"/>
    </xf>
    <xf numFmtId="0" fontId="0" fillId="0" borderId="10" xfId="0" applyFill="1" applyBorder="1" applyAlignment="1" applyProtection="1">
      <alignment/>
      <protection locked="0"/>
    </xf>
    <xf numFmtId="0" fontId="0" fillId="0" borderId="0" xfId="0" applyFill="1" applyBorder="1" applyAlignment="1" applyProtection="1">
      <alignment/>
      <protection locked="0"/>
    </xf>
    <xf numFmtId="0" fontId="5"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70" fontId="0" fillId="0" borderId="0" xfId="44" applyFont="1" applyFill="1" applyBorder="1" applyAlignment="1" applyProtection="1">
      <alignment/>
      <protection locked="0"/>
    </xf>
    <xf numFmtId="0" fontId="0" fillId="0" borderId="0" xfId="0" applyBorder="1" applyAlignment="1" applyProtection="1">
      <alignment horizontal="center" vertical="center" textRotation="90" wrapText="1"/>
      <protection locked="0"/>
    </xf>
    <xf numFmtId="0" fontId="0" fillId="0" borderId="0" xfId="0" applyFill="1" applyBorder="1" applyAlignment="1" applyProtection="1">
      <alignment horizontal="center" vertical="center" textRotation="90" wrapText="1"/>
      <protection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6" fillId="33" borderId="11" xfId="0"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wrapText="1"/>
      <protection/>
    </xf>
    <xf numFmtId="0" fontId="6" fillId="35" borderId="11" xfId="0" applyFont="1" applyFill="1" applyBorder="1" applyAlignment="1" applyProtection="1">
      <alignment horizontal="center" vertical="center" wrapText="1"/>
      <protection/>
    </xf>
    <xf numFmtId="1" fontId="0" fillId="0" borderId="0" xfId="0" applyNumberFormat="1" applyBorder="1" applyAlignment="1" applyProtection="1">
      <alignment/>
      <protection locked="0"/>
    </xf>
    <xf numFmtId="173" fontId="0" fillId="0" borderId="0" xfId="44" applyNumberFormat="1" applyFont="1" applyBorder="1" applyAlignment="1" applyProtection="1">
      <alignment/>
      <protection locked="0"/>
    </xf>
    <xf numFmtId="173" fontId="0" fillId="0" borderId="0" xfId="0" applyNumberFormat="1" applyFill="1" applyBorder="1" applyAlignment="1" applyProtection="1">
      <alignment horizontal="center" vertical="center" textRotation="90" wrapText="1"/>
      <protection locked="0"/>
    </xf>
    <xf numFmtId="1" fontId="0" fillId="0" borderId="0" xfId="0" applyNumberFormat="1" applyFill="1" applyBorder="1" applyAlignment="1" applyProtection="1">
      <alignment horizontal="center" vertical="center" textRotation="90" wrapText="1"/>
      <protection locked="0"/>
    </xf>
    <xf numFmtId="173" fontId="0" fillId="0" borderId="0" xfId="44" applyNumberFormat="1" applyFont="1" applyFill="1" applyBorder="1" applyAlignment="1" applyProtection="1">
      <alignment horizontal="center" vertical="center" textRotation="90" wrapText="1"/>
      <protection locked="0"/>
    </xf>
    <xf numFmtId="0" fontId="7" fillId="0" borderId="0" xfId="0" applyFont="1" applyFill="1" applyBorder="1" applyAlignment="1" applyProtection="1">
      <alignment/>
      <protection locked="0"/>
    </xf>
    <xf numFmtId="0" fontId="8" fillId="0" borderId="0" xfId="0" applyFont="1" applyBorder="1" applyAlignment="1" applyProtection="1">
      <alignment/>
      <protection locked="0"/>
    </xf>
    <xf numFmtId="0" fontId="0" fillId="0" borderId="0" xfId="0" applyFont="1" applyBorder="1" applyAlignment="1" applyProtection="1">
      <alignment/>
      <protection locked="0"/>
    </xf>
    <xf numFmtId="0" fontId="8" fillId="0" borderId="0" xfId="0" applyFont="1" applyBorder="1" applyAlignment="1" applyProtection="1">
      <alignment/>
      <protection locked="0"/>
    </xf>
    <xf numFmtId="0" fontId="11" fillId="36" borderId="12" xfId="0" applyFont="1" applyFill="1" applyBorder="1" applyAlignment="1" applyProtection="1">
      <alignment horizontal="center"/>
      <protection/>
    </xf>
    <xf numFmtId="0" fontId="6" fillId="37" borderId="13" xfId="0" applyFont="1" applyFill="1" applyBorder="1" applyAlignment="1" applyProtection="1">
      <alignment horizontal="center" wrapText="1"/>
      <protection/>
    </xf>
    <xf numFmtId="0" fontId="6" fillId="33" borderId="11" xfId="0" applyFont="1" applyFill="1" applyBorder="1" applyAlignment="1" applyProtection="1">
      <alignment horizontal="center" vertical="center"/>
      <protection/>
    </xf>
    <xf numFmtId="1" fontId="6" fillId="33" borderId="14" xfId="0" applyNumberFormat="1" applyFont="1" applyFill="1" applyBorder="1" applyAlignment="1" applyProtection="1">
      <alignment horizontal="center" vertical="center" wrapText="1"/>
      <protection/>
    </xf>
    <xf numFmtId="173" fontId="6" fillId="33" borderId="11" xfId="44" applyNumberFormat="1" applyFont="1" applyFill="1" applyBorder="1" applyAlignment="1" applyProtection="1">
      <alignment horizontal="center" vertical="center" wrapText="1"/>
      <protection/>
    </xf>
    <xf numFmtId="0" fontId="6" fillId="38" borderId="11" xfId="0" applyFont="1" applyFill="1" applyBorder="1" applyAlignment="1" applyProtection="1">
      <alignment horizontal="center" vertical="center" wrapText="1"/>
      <protection/>
    </xf>
    <xf numFmtId="0" fontId="6" fillId="38" borderId="15" xfId="0" applyFont="1" applyFill="1" applyBorder="1" applyAlignment="1" applyProtection="1">
      <alignment horizontal="center" vertical="center" wrapText="1"/>
      <protection/>
    </xf>
    <xf numFmtId="0" fontId="10" fillId="39" borderId="11" xfId="0" applyFont="1" applyFill="1" applyBorder="1" applyAlignment="1" applyProtection="1">
      <alignment horizontal="center"/>
      <protection/>
    </xf>
    <xf numFmtId="1" fontId="10" fillId="39" borderId="14" xfId="0" applyNumberFormat="1" applyFont="1" applyFill="1" applyBorder="1" applyAlignment="1" applyProtection="1">
      <alignment horizontal="center"/>
      <protection/>
    </xf>
    <xf numFmtId="173" fontId="10" fillId="39" borderId="11" xfId="44" applyNumberFormat="1" applyFont="1" applyFill="1" applyBorder="1" applyAlignment="1" applyProtection="1">
      <alignment horizontal="center"/>
      <protection/>
    </xf>
    <xf numFmtId="0" fontId="10" fillId="39" borderId="16" xfId="0" applyFont="1" applyFill="1" applyBorder="1" applyAlignment="1" applyProtection="1">
      <alignment horizontal="center"/>
      <protection/>
    </xf>
    <xf numFmtId="0" fontId="10" fillId="39" borderId="11" xfId="0" applyFont="1" applyFill="1" applyBorder="1" applyAlignment="1" applyProtection="1" quotePrefix="1">
      <alignment horizontal="center"/>
      <protection/>
    </xf>
    <xf numFmtId="0" fontId="10" fillId="39" borderId="17" xfId="0" applyFont="1" applyFill="1" applyBorder="1" applyAlignment="1" applyProtection="1">
      <alignment horizontal="center"/>
      <protection/>
    </xf>
    <xf numFmtId="173" fontId="10" fillId="39" borderId="14" xfId="44" applyNumberFormat="1" applyFont="1" applyFill="1" applyBorder="1" applyAlignment="1" applyProtection="1">
      <alignment horizontal="center"/>
      <protection/>
    </xf>
    <xf numFmtId="0" fontId="10" fillId="40" borderId="18" xfId="0" applyFont="1" applyFill="1" applyBorder="1" applyAlignment="1" applyProtection="1">
      <alignment/>
      <protection/>
    </xf>
    <xf numFmtId="0" fontId="10" fillId="40" borderId="0" xfId="0" applyFont="1" applyFill="1" applyBorder="1" applyAlignment="1" applyProtection="1">
      <alignment/>
      <protection/>
    </xf>
    <xf numFmtId="0" fontId="10" fillId="40" borderId="0" xfId="0" applyFont="1" applyFill="1" applyBorder="1" applyAlignment="1" applyProtection="1">
      <alignment horizontal="left"/>
      <protection/>
    </xf>
    <xf numFmtId="0" fontId="10" fillId="40" borderId="11" xfId="0" applyFont="1" applyFill="1" applyBorder="1" applyAlignment="1" applyProtection="1">
      <alignment horizontal="left"/>
      <protection/>
    </xf>
    <xf numFmtId="0" fontId="10" fillId="40" borderId="11" xfId="0" applyFont="1" applyFill="1" applyBorder="1" applyAlignment="1" applyProtection="1">
      <alignment horizontal="center"/>
      <protection/>
    </xf>
    <xf numFmtId="9" fontId="10" fillId="40" borderId="11" xfId="59" applyFont="1" applyFill="1" applyBorder="1" applyAlignment="1" applyProtection="1">
      <alignment horizontal="center"/>
      <protection/>
    </xf>
    <xf numFmtId="173" fontId="10" fillId="40" borderId="11" xfId="44" applyNumberFormat="1" applyFont="1" applyFill="1" applyBorder="1" applyAlignment="1" applyProtection="1">
      <alignment horizontal="center"/>
      <protection/>
    </xf>
    <xf numFmtId="1" fontId="10" fillId="40" borderId="11" xfId="0" applyNumberFormat="1" applyFont="1" applyFill="1" applyBorder="1" applyAlignment="1" applyProtection="1">
      <alignment horizontal="center"/>
      <protection/>
    </xf>
    <xf numFmtId="173" fontId="10" fillId="40" borderId="11" xfId="0" applyNumberFormat="1" applyFont="1" applyFill="1" applyBorder="1" applyAlignment="1" applyProtection="1">
      <alignment horizontal="center"/>
      <protection/>
    </xf>
    <xf numFmtId="0" fontId="10" fillId="40" borderId="11" xfId="0" applyFont="1" applyFill="1" applyBorder="1" applyAlignment="1" applyProtection="1">
      <alignment/>
      <protection/>
    </xf>
    <xf numFmtId="1" fontId="10" fillId="39" borderId="0" xfId="0" applyNumberFormat="1" applyFont="1" applyFill="1" applyBorder="1" applyAlignment="1" applyProtection="1">
      <alignment horizontal="center"/>
      <protection/>
    </xf>
    <xf numFmtId="173" fontId="10" fillId="39" borderId="0" xfId="44" applyNumberFormat="1" applyFont="1" applyFill="1" applyBorder="1" applyAlignment="1" applyProtection="1">
      <alignment horizontal="center"/>
      <protection/>
    </xf>
    <xf numFmtId="0" fontId="10" fillId="39" borderId="0" xfId="0" applyFont="1" applyFill="1" applyBorder="1" applyAlignment="1" applyProtection="1">
      <alignment horizontal="center"/>
      <protection/>
    </xf>
    <xf numFmtId="9" fontId="10" fillId="39" borderId="0" xfId="59" applyFont="1" applyFill="1" applyBorder="1" applyAlignment="1" applyProtection="1">
      <alignment horizontal="center"/>
      <protection/>
    </xf>
    <xf numFmtId="173" fontId="10" fillId="39" borderId="19" xfId="0" applyNumberFormat="1" applyFont="1" applyFill="1" applyBorder="1" applyAlignment="1" applyProtection="1">
      <alignment horizontal="center"/>
      <protection/>
    </xf>
    <xf numFmtId="0" fontId="10" fillId="40" borderId="0" xfId="0" applyFont="1" applyFill="1" applyAlignment="1" applyProtection="1">
      <alignment/>
      <protection locked="0"/>
    </xf>
    <xf numFmtId="0" fontId="10" fillId="40" borderId="11" xfId="0" applyFont="1" applyFill="1" applyBorder="1" applyAlignment="1" applyProtection="1">
      <alignment/>
      <protection locked="0"/>
    </xf>
    <xf numFmtId="0" fontId="10" fillId="40" borderId="18" xfId="0" applyFont="1" applyFill="1" applyBorder="1" applyAlignment="1" applyProtection="1">
      <alignment horizontal="left"/>
      <protection/>
    </xf>
    <xf numFmtId="0" fontId="0" fillId="0" borderId="0" xfId="0" applyFont="1" applyFill="1" applyBorder="1" applyAlignment="1" applyProtection="1">
      <alignment horizontal="left"/>
      <protection locked="0"/>
    </xf>
    <xf numFmtId="0" fontId="10" fillId="41" borderId="0" xfId="0" applyFont="1" applyFill="1" applyAlignment="1" applyProtection="1">
      <alignment/>
      <protection locked="0"/>
    </xf>
    <xf numFmtId="0" fontId="10" fillId="41" borderId="0" xfId="0" applyFont="1" applyFill="1" applyBorder="1" applyAlignment="1" applyProtection="1">
      <alignment horizontal="left"/>
      <protection/>
    </xf>
    <xf numFmtId="0" fontId="10" fillId="41" borderId="18" xfId="0" applyFont="1" applyFill="1" applyBorder="1" applyAlignment="1" applyProtection="1">
      <alignment horizontal="left"/>
      <protection/>
    </xf>
    <xf numFmtId="0" fontId="0" fillId="41" borderId="0" xfId="0" applyFill="1" applyAlignment="1" applyProtection="1">
      <alignment/>
      <protection locked="0"/>
    </xf>
    <xf numFmtId="0" fontId="10" fillId="41" borderId="20" xfId="0" applyFont="1" applyFill="1" applyBorder="1" applyAlignment="1" applyProtection="1">
      <alignment horizontal="left"/>
      <protection/>
    </xf>
    <xf numFmtId="0" fontId="10" fillId="41" borderId="21" xfId="0" applyFont="1" applyFill="1" applyBorder="1" applyAlignment="1" applyProtection="1">
      <alignment horizontal="left"/>
      <protection/>
    </xf>
    <xf numFmtId="0" fontId="10" fillId="41" borderId="22" xfId="0" applyFont="1" applyFill="1" applyBorder="1" applyAlignment="1" applyProtection="1">
      <alignment horizontal="left"/>
      <protection/>
    </xf>
    <xf numFmtId="0" fontId="10" fillId="41" borderId="11" xfId="0" applyFont="1" applyFill="1" applyBorder="1" applyAlignment="1" applyProtection="1">
      <alignment horizontal="left"/>
      <protection/>
    </xf>
    <xf numFmtId="1" fontId="10" fillId="41" borderId="23" xfId="0" applyNumberFormat="1" applyFont="1" applyFill="1" applyBorder="1" applyAlignment="1" applyProtection="1">
      <alignment horizontal="center"/>
      <protection/>
    </xf>
    <xf numFmtId="173" fontId="10" fillId="41" borderId="23" xfId="44" applyNumberFormat="1" applyFont="1" applyFill="1" applyBorder="1" applyAlignment="1" applyProtection="1">
      <alignment horizontal="center"/>
      <protection/>
    </xf>
    <xf numFmtId="0" fontId="10" fillId="41" borderId="23" xfId="0" applyFont="1" applyFill="1" applyBorder="1" applyAlignment="1" applyProtection="1">
      <alignment horizontal="center"/>
      <protection/>
    </xf>
    <xf numFmtId="9" fontId="10" fillId="41" borderId="23" xfId="59" applyFont="1" applyFill="1" applyBorder="1" applyAlignment="1" applyProtection="1">
      <alignment horizontal="center"/>
      <protection/>
    </xf>
    <xf numFmtId="173" fontId="10" fillId="41" borderId="24" xfId="0" applyNumberFormat="1" applyFont="1" applyFill="1" applyBorder="1" applyAlignment="1" applyProtection="1">
      <alignment horizontal="center"/>
      <protection/>
    </xf>
    <xf numFmtId="0" fontId="10" fillId="41" borderId="11" xfId="0" applyFont="1" applyFill="1" applyBorder="1" applyAlignment="1" applyProtection="1">
      <alignment/>
      <protection/>
    </xf>
    <xf numFmtId="1" fontId="10" fillId="41" borderId="20" xfId="0" applyNumberFormat="1" applyFont="1" applyFill="1" applyBorder="1" applyAlignment="1" applyProtection="1">
      <alignment horizontal="center"/>
      <protection/>
    </xf>
    <xf numFmtId="173" fontId="10" fillId="41" borderId="20" xfId="44" applyNumberFormat="1" applyFont="1" applyFill="1" applyBorder="1" applyAlignment="1" applyProtection="1">
      <alignment horizontal="center"/>
      <protection/>
    </xf>
    <xf numFmtId="0" fontId="10" fillId="41" borderId="20" xfId="0" applyFont="1" applyFill="1" applyBorder="1" applyAlignment="1" applyProtection="1">
      <alignment horizontal="center"/>
      <protection/>
    </xf>
    <xf numFmtId="9" fontId="10" fillId="41" borderId="20" xfId="59" applyFont="1" applyFill="1" applyBorder="1" applyAlignment="1" applyProtection="1">
      <alignment horizontal="center"/>
      <protection/>
    </xf>
    <xf numFmtId="173" fontId="10" fillId="41" borderId="25" xfId="0" applyNumberFormat="1" applyFont="1" applyFill="1" applyBorder="1" applyAlignment="1" applyProtection="1">
      <alignment horizontal="center"/>
      <protection/>
    </xf>
    <xf numFmtId="0" fontId="10" fillId="39" borderId="26" xfId="0" applyFont="1" applyFill="1" applyBorder="1" applyAlignment="1" applyProtection="1">
      <alignment horizontal="left"/>
      <protection/>
    </xf>
    <xf numFmtId="0" fontId="10" fillId="41" borderId="23" xfId="0" applyFont="1" applyFill="1" applyBorder="1" applyAlignment="1" applyProtection="1">
      <alignment/>
      <protection/>
    </xf>
    <xf numFmtId="0" fontId="10" fillId="41" borderId="23" xfId="0" applyFont="1" applyFill="1" applyBorder="1" applyAlignment="1" applyProtection="1">
      <alignment horizontal="left"/>
      <protection/>
    </xf>
    <xf numFmtId="0" fontId="5" fillId="42" borderId="27" xfId="0" applyFont="1" applyFill="1" applyBorder="1" applyAlignment="1">
      <alignment horizontal="center"/>
    </xf>
    <xf numFmtId="0" fontId="4" fillId="42" borderId="28" xfId="0" applyFont="1" applyFill="1" applyBorder="1" applyAlignment="1" applyProtection="1">
      <alignment horizontal="center"/>
      <protection locked="0"/>
    </xf>
    <xf numFmtId="0" fontId="5" fillId="42" borderId="29" xfId="0" applyFont="1" applyFill="1" applyBorder="1" applyAlignment="1">
      <alignment horizontal="center"/>
    </xf>
    <xf numFmtId="0" fontId="5" fillId="38" borderId="30" xfId="0" applyFont="1" applyFill="1" applyBorder="1" applyAlignment="1" applyProtection="1" quotePrefix="1">
      <alignment horizontal="center"/>
      <protection locked="0"/>
    </xf>
    <xf numFmtId="0" fontId="5" fillId="38" borderId="30" xfId="0" applyFont="1" applyFill="1" applyBorder="1" applyAlignment="1" applyProtection="1">
      <alignment horizontal="center"/>
      <protection locked="0"/>
    </xf>
    <xf numFmtId="0" fontId="5" fillId="38" borderId="31" xfId="0" applyFont="1" applyFill="1" applyBorder="1" applyAlignment="1" applyProtection="1">
      <alignment horizontal="center"/>
      <protection locked="0"/>
    </xf>
    <xf numFmtId="173" fontId="0" fillId="39" borderId="11" xfId="44" applyNumberFormat="1" applyFont="1" applyFill="1" applyBorder="1" applyAlignment="1" applyProtection="1">
      <alignment/>
      <protection locked="0"/>
    </xf>
    <xf numFmtId="173" fontId="0" fillId="38" borderId="32" xfId="44" applyNumberFormat="1" applyFont="1" applyFill="1" applyBorder="1" applyAlignment="1" applyProtection="1">
      <alignment/>
      <protection locked="0"/>
    </xf>
    <xf numFmtId="173" fontId="0" fillId="38" borderId="33" xfId="44" applyNumberFormat="1" applyFont="1" applyFill="1" applyBorder="1" applyAlignment="1" applyProtection="1">
      <alignment/>
      <protection locked="0"/>
    </xf>
    <xf numFmtId="174" fontId="0" fillId="39" borderId="11" xfId="0" applyNumberFormat="1" applyFont="1" applyFill="1" applyBorder="1" applyAlignment="1" applyProtection="1">
      <alignment/>
      <protection locked="0"/>
    </xf>
    <xf numFmtId="174" fontId="0" fillId="43" borderId="11" xfId="0" applyNumberFormat="1" applyFont="1" applyFill="1" applyBorder="1" applyAlignment="1" applyProtection="1">
      <alignment/>
      <protection locked="0"/>
    </xf>
    <xf numFmtId="3" fontId="0" fillId="43" borderId="11" xfId="0" applyNumberFormat="1" applyFont="1" applyFill="1" applyBorder="1" applyAlignment="1" applyProtection="1">
      <alignment/>
      <protection locked="0"/>
    </xf>
    <xf numFmtId="186" fontId="0" fillId="39" borderId="11" xfId="0" applyNumberFormat="1" applyFont="1" applyFill="1" applyBorder="1" applyAlignment="1" applyProtection="1">
      <alignment/>
      <protection locked="0"/>
    </xf>
    <xf numFmtId="186" fontId="0" fillId="43" borderId="11"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0" fillId="0" borderId="0" xfId="0" applyFont="1" applyFill="1" applyBorder="1" applyAlignment="1" applyProtection="1">
      <alignment horizontal="center"/>
      <protection locked="0"/>
    </xf>
    <xf numFmtId="0" fontId="0" fillId="0" borderId="0" xfId="0" applyFont="1" applyFill="1" applyAlignment="1" applyProtection="1">
      <alignment/>
      <protection locked="0"/>
    </xf>
    <xf numFmtId="0" fontId="13" fillId="39" borderId="11" xfId="0" applyFont="1" applyFill="1" applyBorder="1" applyAlignment="1" applyProtection="1">
      <alignment horizontal="center"/>
      <protection/>
    </xf>
    <xf numFmtId="0" fontId="10" fillId="40" borderId="34" xfId="0" applyFont="1" applyFill="1" applyBorder="1" applyAlignment="1" applyProtection="1">
      <alignment horizontal="left"/>
      <protection/>
    </xf>
    <xf numFmtId="0" fontId="10" fillId="40" borderId="35" xfId="0" applyFont="1" applyFill="1" applyBorder="1" applyAlignment="1" applyProtection="1">
      <alignment horizontal="left"/>
      <protection/>
    </xf>
    <xf numFmtId="0" fontId="0" fillId="0" borderId="0" xfId="0" applyFont="1" applyFill="1" applyBorder="1" applyAlignment="1" applyProtection="1">
      <alignment horizontal="center" vertical="center" textRotation="90" wrapText="1"/>
      <protection locked="0"/>
    </xf>
    <xf numFmtId="1" fontId="0" fillId="0" borderId="0" xfId="0" applyNumberFormat="1" applyFont="1" applyFill="1" applyBorder="1" applyAlignment="1" applyProtection="1">
      <alignment horizontal="center" vertical="center" textRotation="90" wrapText="1"/>
      <protection locked="0"/>
    </xf>
    <xf numFmtId="173" fontId="0" fillId="0" borderId="0" xfId="44" applyNumberFormat="1" applyFont="1" applyFill="1" applyBorder="1" applyAlignment="1" applyProtection="1">
      <alignment horizontal="center" vertical="center" textRotation="90" wrapText="1"/>
      <protection locked="0"/>
    </xf>
    <xf numFmtId="9" fontId="0" fillId="0" borderId="0" xfId="59" applyFont="1" applyFill="1" applyBorder="1" applyAlignment="1" applyProtection="1">
      <alignment horizontal="center" vertical="center" textRotation="90" wrapText="1"/>
      <protection locked="0"/>
    </xf>
    <xf numFmtId="173" fontId="0" fillId="0" borderId="0" xfId="0" applyNumberFormat="1" applyFont="1" applyFill="1" applyBorder="1" applyAlignment="1" applyProtection="1">
      <alignment horizontal="center" vertical="center" textRotation="90" wrapText="1"/>
      <protection locked="0"/>
    </xf>
    <xf numFmtId="0" fontId="10" fillId="44" borderId="36" xfId="0" applyFont="1" applyFill="1" applyBorder="1" applyAlignment="1" applyProtection="1">
      <alignment/>
      <protection/>
    </xf>
    <xf numFmtId="0" fontId="10" fillId="44" borderId="37" xfId="0" applyFont="1" applyFill="1" applyBorder="1" applyAlignment="1" applyProtection="1">
      <alignment/>
      <protection/>
    </xf>
    <xf numFmtId="1" fontId="10" fillId="41" borderId="11" xfId="0" applyNumberFormat="1" applyFont="1" applyFill="1" applyBorder="1" applyAlignment="1" applyProtection="1">
      <alignment horizontal="center"/>
      <protection/>
    </xf>
    <xf numFmtId="173" fontId="10" fillId="41" borderId="11" xfId="44" applyNumberFormat="1" applyFont="1" applyFill="1" applyBorder="1" applyAlignment="1" applyProtection="1">
      <alignment horizontal="center"/>
      <protection/>
    </xf>
    <xf numFmtId="0" fontId="10" fillId="41" borderId="11" xfId="0" applyFont="1" applyFill="1" applyBorder="1" applyAlignment="1" applyProtection="1">
      <alignment horizontal="center"/>
      <protection/>
    </xf>
    <xf numFmtId="9" fontId="10" fillId="41" borderId="11" xfId="59" applyFont="1" applyFill="1" applyBorder="1" applyAlignment="1" applyProtection="1">
      <alignment horizontal="center"/>
      <protection/>
    </xf>
    <xf numFmtId="173" fontId="10" fillId="41" borderId="11" xfId="0" applyNumberFormat="1" applyFont="1" applyFill="1" applyBorder="1" applyAlignment="1" applyProtection="1">
      <alignment horizontal="center"/>
      <protection/>
    </xf>
    <xf numFmtId="0" fontId="10" fillId="44" borderId="20" xfId="0" applyFont="1" applyFill="1" applyBorder="1" applyAlignment="1" applyProtection="1">
      <alignment horizontal="center"/>
      <protection/>
    </xf>
    <xf numFmtId="0" fontId="10" fillId="44" borderId="20" xfId="0" applyFont="1" applyFill="1" applyBorder="1" applyAlignment="1" applyProtection="1">
      <alignment/>
      <protection/>
    </xf>
    <xf numFmtId="1" fontId="10" fillId="44" borderId="20" xfId="0" applyNumberFormat="1" applyFont="1" applyFill="1" applyBorder="1" applyAlignment="1" applyProtection="1">
      <alignment horizontal="center"/>
      <protection/>
    </xf>
    <xf numFmtId="173" fontId="10" fillId="44" borderId="20" xfId="44" applyNumberFormat="1" applyFont="1" applyFill="1" applyBorder="1" applyAlignment="1" applyProtection="1">
      <alignment horizontal="center"/>
      <protection/>
    </xf>
    <xf numFmtId="9" fontId="10" fillId="44" borderId="20" xfId="59" applyFont="1" applyFill="1" applyBorder="1" applyAlignment="1" applyProtection="1">
      <alignment horizontal="center"/>
      <protection/>
    </xf>
    <xf numFmtId="173" fontId="10" fillId="44" borderId="38" xfId="44" applyNumberFormat="1" applyFont="1" applyFill="1" applyBorder="1" applyAlignment="1" applyProtection="1">
      <alignment horizontal="center"/>
      <protection/>
    </xf>
    <xf numFmtId="10" fontId="10" fillId="39" borderId="15" xfId="59" applyNumberFormat="1" applyFont="1" applyFill="1" applyBorder="1" applyAlignment="1" applyProtection="1">
      <alignment horizontal="center"/>
      <protection/>
    </xf>
    <xf numFmtId="173" fontId="0" fillId="39" borderId="16" xfId="44" applyNumberFormat="1" applyFont="1" applyFill="1" applyBorder="1" applyAlignment="1" applyProtection="1">
      <alignment/>
      <protection locked="0"/>
    </xf>
    <xf numFmtId="173" fontId="0" fillId="41" borderId="0" xfId="44" applyNumberFormat="1" applyFont="1" applyFill="1" applyBorder="1" applyAlignment="1" applyProtection="1">
      <alignment horizontal="center"/>
      <protection locked="0"/>
    </xf>
    <xf numFmtId="173" fontId="0" fillId="41" borderId="0" xfId="44" applyNumberFormat="1" applyFont="1" applyFill="1" applyBorder="1" applyAlignment="1" applyProtection="1">
      <alignment/>
      <protection locked="0"/>
    </xf>
    <xf numFmtId="173" fontId="0" fillId="38" borderId="39" xfId="44" applyNumberFormat="1" applyFont="1" applyFill="1" applyBorder="1" applyAlignment="1" applyProtection="1">
      <alignment/>
      <protection locked="0"/>
    </xf>
    <xf numFmtId="173" fontId="0" fillId="0" borderId="11" xfId="44" applyNumberFormat="1" applyFont="1" applyFill="1" applyBorder="1" applyAlignment="1" applyProtection="1">
      <alignment/>
      <protection locked="0"/>
    </xf>
    <xf numFmtId="173" fontId="0" fillId="41" borderId="40" xfId="44" applyNumberFormat="1" applyFont="1" applyFill="1" applyBorder="1" applyAlignment="1" applyProtection="1">
      <alignment horizontal="center"/>
      <protection locked="0"/>
    </xf>
    <xf numFmtId="173" fontId="0" fillId="41" borderId="23" xfId="44" applyNumberFormat="1" applyFont="1" applyFill="1" applyBorder="1" applyAlignment="1" applyProtection="1">
      <alignment horizontal="center"/>
      <protection locked="0"/>
    </xf>
    <xf numFmtId="173" fontId="0" fillId="41" borderId="41" xfId="44" applyNumberFormat="1" applyFont="1" applyFill="1" applyBorder="1" applyAlignment="1" applyProtection="1">
      <alignment horizontal="center"/>
      <protection locked="0"/>
    </xf>
    <xf numFmtId="173" fontId="0" fillId="41" borderId="42" xfId="44" applyNumberFormat="1" applyFont="1" applyFill="1" applyBorder="1" applyAlignment="1" applyProtection="1">
      <alignment horizontal="center"/>
      <protection locked="0"/>
    </xf>
    <xf numFmtId="173" fontId="0" fillId="41" borderId="43" xfId="44" applyNumberFormat="1" applyFont="1" applyFill="1" applyBorder="1" applyAlignment="1" applyProtection="1">
      <alignment horizontal="center"/>
      <protection locked="0"/>
    </xf>
    <xf numFmtId="173" fontId="0" fillId="41" borderId="42" xfId="44" applyNumberFormat="1" applyFont="1" applyFill="1" applyBorder="1" applyAlignment="1" applyProtection="1">
      <alignment/>
      <protection locked="0"/>
    </xf>
    <xf numFmtId="173" fontId="0" fillId="41" borderId="43" xfId="44" applyNumberFormat="1" applyFont="1" applyFill="1" applyBorder="1" applyAlignment="1" applyProtection="1">
      <alignment/>
      <protection locked="0"/>
    </xf>
    <xf numFmtId="173" fontId="0" fillId="41" borderId="44" xfId="44" applyNumberFormat="1" applyFont="1" applyFill="1" applyBorder="1" applyAlignment="1" applyProtection="1">
      <alignment/>
      <protection locked="0"/>
    </xf>
    <xf numFmtId="173" fontId="0" fillId="41" borderId="20" xfId="44" applyNumberFormat="1" applyFont="1" applyFill="1" applyBorder="1" applyAlignment="1" applyProtection="1">
      <alignment/>
      <protection locked="0"/>
    </xf>
    <xf numFmtId="173" fontId="0" fillId="41" borderId="38" xfId="44" applyNumberFormat="1" applyFont="1" applyFill="1" applyBorder="1" applyAlignment="1" applyProtection="1">
      <alignment/>
      <protection locked="0"/>
    </xf>
    <xf numFmtId="0" fontId="10" fillId="39" borderId="45" xfId="0" applyFont="1" applyFill="1" applyBorder="1" applyAlignment="1" applyProtection="1">
      <alignment horizontal="center"/>
      <protection/>
    </xf>
    <xf numFmtId="0" fontId="10" fillId="39" borderId="44" xfId="0" applyFont="1" applyFill="1" applyBorder="1" applyAlignment="1" applyProtection="1">
      <alignment horizontal="center"/>
      <protection/>
    </xf>
    <xf numFmtId="174" fontId="0" fillId="39" borderId="15" xfId="0" applyNumberFormat="1" applyFont="1" applyFill="1" applyBorder="1" applyAlignment="1" applyProtection="1">
      <alignment/>
      <protection locked="0"/>
    </xf>
    <xf numFmtId="174" fontId="0" fillId="43" borderId="15" xfId="0" applyNumberFormat="1" applyFont="1" applyFill="1" applyBorder="1" applyAlignment="1" applyProtection="1">
      <alignment/>
      <protection locked="0"/>
    </xf>
    <xf numFmtId="3" fontId="0" fillId="43" borderId="15" xfId="0" applyNumberFormat="1" applyFont="1" applyFill="1" applyBorder="1" applyAlignment="1" applyProtection="1">
      <alignment/>
      <protection locked="0"/>
    </xf>
    <xf numFmtId="186" fontId="0" fillId="39" borderId="15" xfId="0" applyNumberFormat="1" applyFont="1" applyFill="1" applyBorder="1" applyAlignment="1" applyProtection="1">
      <alignment/>
      <protection locked="0"/>
    </xf>
    <xf numFmtId="186" fontId="0" fillId="43" borderId="15" xfId="0" applyNumberFormat="1" applyFont="1" applyFill="1" applyBorder="1" applyAlignment="1" applyProtection="1">
      <alignment/>
      <protection locked="0"/>
    </xf>
    <xf numFmtId="0" fontId="0" fillId="0" borderId="0" xfId="0" applyFont="1" applyBorder="1" applyAlignment="1" applyProtection="1">
      <alignment/>
      <protection locked="0"/>
    </xf>
    <xf numFmtId="174" fontId="0" fillId="39" borderId="11" xfId="44" applyNumberFormat="1" applyFont="1" applyFill="1" applyBorder="1" applyAlignment="1" applyProtection="1">
      <alignment/>
      <protection locked="0"/>
    </xf>
    <xf numFmtId="10" fontId="0" fillId="0" borderId="11" xfId="59" applyNumberFormat="1" applyFont="1" applyFill="1" applyBorder="1" applyAlignment="1" applyProtection="1">
      <alignment/>
      <protection locked="0"/>
    </xf>
    <xf numFmtId="0" fontId="0" fillId="39" borderId="46" xfId="0" applyFont="1" applyFill="1" applyBorder="1" applyAlignment="1" applyProtection="1">
      <alignment/>
      <protection locked="0"/>
    </xf>
    <xf numFmtId="174" fontId="0" fillId="39" borderId="15" xfId="44" applyNumberFormat="1" applyFont="1" applyFill="1" applyBorder="1" applyAlignment="1" applyProtection="1">
      <alignment/>
      <protection locked="0"/>
    </xf>
    <xf numFmtId="0" fontId="0" fillId="0" borderId="46" xfId="0" applyFont="1" applyFill="1" applyBorder="1" applyAlignment="1" applyProtection="1">
      <alignment/>
      <protection locked="0"/>
    </xf>
    <xf numFmtId="10" fontId="0" fillId="0" borderId="15" xfId="59" applyNumberFormat="1" applyFont="1" applyFill="1" applyBorder="1" applyAlignment="1" applyProtection="1">
      <alignment/>
      <protection locked="0"/>
    </xf>
    <xf numFmtId="0" fontId="0" fillId="0" borderId="47" xfId="0" applyFont="1" applyFill="1" applyBorder="1" applyAlignment="1" applyProtection="1">
      <alignment/>
      <protection locked="0"/>
    </xf>
    <xf numFmtId="10" fontId="0" fillId="0" borderId="48" xfId="0" applyNumberFormat="1" applyFont="1" applyBorder="1" applyAlignment="1" applyProtection="1">
      <alignment/>
      <protection locked="0"/>
    </xf>
    <xf numFmtId="10" fontId="0" fillId="0" borderId="49" xfId="0" applyNumberFormat="1" applyFont="1" applyBorder="1" applyAlignment="1" applyProtection="1">
      <alignment/>
      <protection locked="0"/>
    </xf>
    <xf numFmtId="0" fontId="12" fillId="0" borderId="50" xfId="0" applyFont="1" applyBorder="1" applyAlignment="1" applyProtection="1">
      <alignment horizontal="center"/>
      <protection locked="0"/>
    </xf>
    <xf numFmtId="0" fontId="12" fillId="45" borderId="51" xfId="0" applyFont="1" applyFill="1" applyBorder="1" applyAlignment="1" applyProtection="1">
      <alignment horizontal="center"/>
      <protection locked="0"/>
    </xf>
    <xf numFmtId="0" fontId="12" fillId="45" borderId="52"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10" fillId="39" borderId="22" xfId="0" applyFont="1" applyFill="1" applyBorder="1" applyAlignment="1" applyProtection="1">
      <alignment horizontal="left"/>
      <protection/>
    </xf>
    <xf numFmtId="0" fontId="10" fillId="39" borderId="23" xfId="0" applyFont="1" applyFill="1" applyBorder="1" applyAlignment="1" applyProtection="1">
      <alignment horizontal="left"/>
      <protection/>
    </xf>
    <xf numFmtId="0" fontId="10" fillId="39" borderId="0" xfId="0" applyFont="1" applyFill="1" applyBorder="1" applyAlignment="1" applyProtection="1">
      <alignment horizontal="left"/>
      <protection/>
    </xf>
    <xf numFmtId="0" fontId="6" fillId="44" borderId="53" xfId="0" applyFont="1" applyFill="1" applyBorder="1" applyAlignment="1" applyProtection="1">
      <alignment horizontal="center"/>
      <protection/>
    </xf>
    <xf numFmtId="0" fontId="11" fillId="44" borderId="54" xfId="0" applyFont="1" applyFill="1" applyBorder="1" applyAlignment="1" applyProtection="1">
      <alignment horizontal="center"/>
      <protection/>
    </xf>
    <xf numFmtId="0" fontId="11" fillId="44" borderId="12" xfId="0" applyFont="1" applyFill="1" applyBorder="1" applyAlignment="1" applyProtection="1">
      <alignment horizontal="center"/>
      <protection/>
    </xf>
    <xf numFmtId="0" fontId="6" fillId="45" borderId="55" xfId="0" applyFont="1" applyFill="1" applyBorder="1" applyAlignment="1" applyProtection="1">
      <alignment horizontal="center"/>
      <protection/>
    </xf>
    <xf numFmtId="0" fontId="11" fillId="45" borderId="56" xfId="0" applyFont="1" applyFill="1" applyBorder="1" applyAlignment="1" applyProtection="1">
      <alignment horizontal="center"/>
      <protection/>
    </xf>
    <xf numFmtId="0" fontId="11" fillId="45" borderId="13" xfId="0" applyFont="1" applyFill="1" applyBorder="1" applyAlignment="1" applyProtection="1">
      <alignment horizontal="center"/>
      <protection/>
    </xf>
    <xf numFmtId="0" fontId="10" fillId="40" borderId="0" xfId="0" applyFont="1" applyFill="1" applyBorder="1" applyAlignment="1" applyProtection="1">
      <alignment horizontal="left"/>
      <protection/>
    </xf>
    <xf numFmtId="0" fontId="10" fillId="39" borderId="57" xfId="0" applyFont="1" applyFill="1" applyBorder="1" applyAlignment="1" applyProtection="1">
      <alignment horizontal="center"/>
      <protection/>
    </xf>
    <xf numFmtId="0" fontId="10" fillId="39" borderId="58" xfId="0" applyFont="1" applyFill="1" applyBorder="1" applyAlignment="1" applyProtection="1">
      <alignment horizontal="center"/>
      <protection/>
    </xf>
    <xf numFmtId="0" fontId="6" fillId="33" borderId="46" xfId="0"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protection/>
    </xf>
    <xf numFmtId="0" fontId="11" fillId="33" borderId="36" xfId="0" applyFont="1" applyFill="1" applyBorder="1" applyAlignment="1" applyProtection="1">
      <alignment horizontal="center" vertical="center"/>
      <protection/>
    </xf>
    <xf numFmtId="1" fontId="6" fillId="36" borderId="55" xfId="0" applyNumberFormat="1" applyFont="1" applyFill="1" applyBorder="1" applyAlignment="1" applyProtection="1">
      <alignment horizontal="left"/>
      <protection/>
    </xf>
    <xf numFmtId="0" fontId="11" fillId="36" borderId="56" xfId="0" applyFont="1" applyFill="1" applyBorder="1" applyAlignment="1" applyProtection="1">
      <alignment horizontal="left"/>
      <protection/>
    </xf>
    <xf numFmtId="0" fontId="10" fillId="41" borderId="23" xfId="0"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Renewal Profile</a:t>
            </a:r>
          </a:p>
        </c:rich>
      </c:tx>
      <c:layout>
        <c:manualLayout>
          <c:xMode val="factor"/>
          <c:yMode val="factor"/>
          <c:x val="0.003"/>
          <c:y val="-0.00175"/>
        </c:manualLayout>
      </c:layout>
      <c:spPr>
        <a:noFill/>
        <a:ln>
          <a:noFill/>
        </a:ln>
      </c:spPr>
    </c:title>
    <c:plotArea>
      <c:layout>
        <c:manualLayout>
          <c:xMode val="edge"/>
          <c:yMode val="edge"/>
          <c:x val="0.0375"/>
          <c:y val="0.10525"/>
          <c:w val="0.86225"/>
          <c:h val="0.83675"/>
        </c:manualLayout>
      </c:layout>
      <c:barChart>
        <c:barDir val="col"/>
        <c:grouping val="clustered"/>
        <c:varyColors val="0"/>
        <c:ser>
          <c:idx val="0"/>
          <c:order val="0"/>
          <c:tx>
            <c:v>Cash Flow</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Core!$U$2:$AE$2</c:f>
              <c:numCach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Core!$U$32:$AE$32</c:f>
              <c:numCache>
                <c:ptCount val="11"/>
                <c:pt idx="0">
                  <c:v>0</c:v>
                </c:pt>
                <c:pt idx="1">
                  <c:v>350000</c:v>
                </c:pt>
                <c:pt idx="2">
                  <c:v>0</c:v>
                </c:pt>
                <c:pt idx="3">
                  <c:v>102406.76353570857</c:v>
                </c:pt>
                <c:pt idx="4">
                  <c:v>0</c:v>
                </c:pt>
                <c:pt idx="5">
                  <c:v>60183.77488502181</c:v>
                </c:pt>
                <c:pt idx="6">
                  <c:v>155496.04585935693</c:v>
                </c:pt>
                <c:pt idx="7">
                  <c:v>138824.6779106725</c:v>
                </c:pt>
                <c:pt idx="8">
                  <c:v>158588.6492315431</c:v>
                </c:pt>
                <c:pt idx="9">
                  <c:v>3340.137646486267</c:v>
                </c:pt>
                <c:pt idx="10">
                  <c:v>0</c:v>
                </c:pt>
              </c:numCache>
            </c:numRef>
          </c:val>
        </c:ser>
        <c:axId val="34249090"/>
        <c:axId val="39806355"/>
      </c:barChart>
      <c:catAx>
        <c:axId val="34249090"/>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Year</a:t>
                </a:r>
              </a:p>
            </c:rich>
          </c:tx>
          <c:layout>
            <c:manualLayout>
              <c:xMode val="factor"/>
              <c:yMode val="factor"/>
              <c:x val="-0.0117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950" b="0" i="0" u="none" baseline="0">
                <a:solidFill>
                  <a:srgbClr val="000000"/>
                </a:solidFill>
                <a:latin typeface="Arial"/>
                <a:ea typeface="Arial"/>
                <a:cs typeface="Arial"/>
              </a:defRPr>
            </a:pPr>
          </a:p>
        </c:txPr>
        <c:crossAx val="39806355"/>
        <c:crosses val="autoZero"/>
        <c:auto val="1"/>
        <c:lblOffset val="100"/>
        <c:tickLblSkip val="2"/>
        <c:noMultiLvlLbl val="0"/>
      </c:catAx>
      <c:valAx>
        <c:axId val="3980635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Cash Flow</a:t>
                </a:r>
              </a:p>
            </c:rich>
          </c:tx>
          <c:layout>
            <c:manualLayout>
              <c:xMode val="factor"/>
              <c:yMode val="factor"/>
              <c:x val="-0.015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4249090"/>
        <c:crossesAt val="1"/>
        <c:crossBetween val="between"/>
        <c:dispUnits/>
      </c:valAx>
      <c:spPr>
        <a:solidFill>
          <a:srgbClr val="C0C0C0"/>
        </a:solidFill>
        <a:ln w="12700">
          <a:solidFill>
            <a:srgbClr val="808080"/>
          </a:solidFill>
        </a:ln>
      </c:spPr>
    </c:plotArea>
    <c:legend>
      <c:legendPos val="r"/>
      <c:layout>
        <c:manualLayout>
          <c:xMode val="edge"/>
          <c:yMode val="edge"/>
          <c:x val="0.912"/>
          <c:y val="0.4805"/>
          <c:w val="0.0845"/>
          <c:h val="0.034"/>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4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0</xdr:rowOff>
    </xdr:from>
    <xdr:to>
      <xdr:col>0</xdr:col>
      <xdr:colOff>295275</xdr:colOff>
      <xdr:row>1</xdr:row>
      <xdr:rowOff>0</xdr:rowOff>
    </xdr:to>
    <xdr:pic>
      <xdr:nvPicPr>
        <xdr:cNvPr id="1" name="Picture 2" descr="GHD Colour Logo"/>
        <xdr:cNvPicPr preferRelativeResize="1">
          <a:picLocks noChangeAspect="1"/>
        </xdr:cNvPicPr>
      </xdr:nvPicPr>
      <xdr:blipFill>
        <a:blip r:embed="rId1"/>
        <a:stretch>
          <a:fillRect/>
        </a:stretch>
      </xdr:blipFill>
      <xdr:spPr>
        <a:xfrm>
          <a:off x="295275" y="26670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86425"/>
    <xdr:graphicFrame>
      <xdr:nvGraphicFramePr>
        <xdr:cNvPr id="1" name="Shape 1025"/>
        <xdr:cNvGraphicFramePr/>
      </xdr:nvGraphicFramePr>
      <xdr:xfrm>
        <a:off x="0" y="0"/>
        <a:ext cx="9286875" cy="56864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86"/>
  <sheetViews>
    <sheetView tabSelected="1" zoomScaleSheetLayoutView="75" zoomScalePageLayoutView="0" workbookViewId="0" topLeftCell="A1">
      <selection activeCell="F3" sqref="F3"/>
    </sheetView>
  </sheetViews>
  <sheetFormatPr defaultColWidth="9.140625" defaultRowHeight="12.75"/>
  <cols>
    <col min="1" max="1" width="4.421875" style="1" customWidth="1"/>
    <col min="2" max="2" width="4.8515625" style="1" customWidth="1"/>
    <col min="3" max="3" width="5.7109375" style="1" customWidth="1"/>
    <col min="4" max="4" width="6.28125" style="1" customWidth="1"/>
    <col min="5" max="5" width="13.7109375" style="1" customWidth="1"/>
    <col min="6" max="6" width="14.00390625" style="1" customWidth="1"/>
    <col min="7" max="7" width="9.28125" style="2" customWidth="1"/>
    <col min="8" max="8" width="11.7109375" style="6" customWidth="1"/>
    <col min="9" max="9" width="10.00390625" style="1" customWidth="1"/>
    <col min="10" max="10" width="13.57421875" style="1" customWidth="1"/>
    <col min="11" max="11" width="11.421875" style="1" customWidth="1"/>
    <col min="12" max="12" width="12.8515625" style="1" customWidth="1"/>
    <col min="13" max="13" width="11.140625" style="1" customWidth="1"/>
    <col min="14" max="14" width="14.140625" style="1" customWidth="1"/>
    <col min="15" max="15" width="9.7109375" style="1" customWidth="1"/>
    <col min="16" max="16" width="13.7109375" style="1" customWidth="1"/>
    <col min="17" max="17" width="14.28125" style="1" customWidth="1"/>
    <col min="18" max="18" width="14.8515625" style="1" customWidth="1"/>
    <col min="19" max="19" width="15.421875" style="3" customWidth="1"/>
    <col min="20" max="20" width="33.28125" style="100" customWidth="1"/>
    <col min="21" max="31" width="15.7109375" style="98" customWidth="1"/>
    <col min="32" max="32" width="10.7109375" style="1" customWidth="1"/>
    <col min="33" max="16384" width="9.140625" style="8" customWidth="1"/>
  </cols>
  <sheetData>
    <row r="1" spans="1:32" ht="21" thickBot="1">
      <c r="A1" s="158" t="s">
        <v>107</v>
      </c>
      <c r="B1" s="158"/>
      <c r="C1" s="158"/>
      <c r="D1" s="158"/>
      <c r="E1" s="158"/>
      <c r="F1" s="158"/>
      <c r="G1" s="158"/>
      <c r="H1" s="158"/>
      <c r="I1" s="158"/>
      <c r="J1" s="158"/>
      <c r="K1" s="7"/>
      <c r="T1" s="97"/>
      <c r="U1" s="83"/>
      <c r="V1" s="83"/>
      <c r="W1" s="83"/>
      <c r="X1" s="83"/>
      <c r="Y1" s="83"/>
      <c r="Z1" s="84" t="s">
        <v>44</v>
      </c>
      <c r="AA1" s="83"/>
      <c r="AB1" s="83"/>
      <c r="AC1" s="83"/>
      <c r="AD1" s="83"/>
      <c r="AE1" s="85"/>
      <c r="AF1" s="8"/>
    </row>
    <row r="2" spans="1:31" s="9" customFormat="1" ht="24">
      <c r="A2" s="174" t="s">
        <v>18</v>
      </c>
      <c r="B2" s="175"/>
      <c r="C2" s="175"/>
      <c r="D2" s="175"/>
      <c r="E2" s="175"/>
      <c r="F2" s="175"/>
      <c r="G2" s="175"/>
      <c r="H2" s="175"/>
      <c r="I2" s="175"/>
      <c r="J2" s="28"/>
      <c r="K2" s="29" t="s">
        <v>36</v>
      </c>
      <c r="L2" s="165" t="s">
        <v>9</v>
      </c>
      <c r="M2" s="166"/>
      <c r="N2" s="166"/>
      <c r="O2" s="167"/>
      <c r="P2" s="162" t="s">
        <v>43</v>
      </c>
      <c r="Q2" s="163"/>
      <c r="R2" s="163"/>
      <c r="S2" s="164"/>
      <c r="U2" s="86">
        <v>2015</v>
      </c>
      <c r="V2" s="87">
        <v>2016</v>
      </c>
      <c r="W2" s="87">
        <v>2017</v>
      </c>
      <c r="X2" s="87">
        <v>2018</v>
      </c>
      <c r="Y2" s="86">
        <v>2019</v>
      </c>
      <c r="Z2" s="87">
        <v>2020</v>
      </c>
      <c r="AA2" s="87">
        <v>2021</v>
      </c>
      <c r="AB2" s="87">
        <v>2022</v>
      </c>
      <c r="AC2" s="87">
        <v>2023</v>
      </c>
      <c r="AD2" s="87">
        <v>2024</v>
      </c>
      <c r="AE2" s="88">
        <v>2025</v>
      </c>
    </row>
    <row r="3" spans="1:31" s="9" customFormat="1" ht="59.25" customHeight="1">
      <c r="A3" s="171" t="s">
        <v>110</v>
      </c>
      <c r="B3" s="172"/>
      <c r="C3" s="172"/>
      <c r="D3" s="172"/>
      <c r="E3" s="173"/>
      <c r="F3" s="30" t="s">
        <v>114</v>
      </c>
      <c r="G3" s="31" t="s">
        <v>45</v>
      </c>
      <c r="H3" s="32" t="s">
        <v>38</v>
      </c>
      <c r="I3" s="16" t="s">
        <v>31</v>
      </c>
      <c r="J3" s="16" t="s">
        <v>46</v>
      </c>
      <c r="K3" s="17" t="s">
        <v>1</v>
      </c>
      <c r="L3" s="18" t="s">
        <v>6</v>
      </c>
      <c r="M3" s="18" t="s">
        <v>3</v>
      </c>
      <c r="N3" s="18" t="s">
        <v>4</v>
      </c>
      <c r="O3" s="18" t="s">
        <v>72</v>
      </c>
      <c r="P3" s="33" t="s">
        <v>43</v>
      </c>
      <c r="Q3" s="33" t="s">
        <v>26</v>
      </c>
      <c r="R3" s="33" t="s">
        <v>47</v>
      </c>
      <c r="S3" s="34" t="s">
        <v>27</v>
      </c>
      <c r="U3" s="128"/>
      <c r="V3" s="129"/>
      <c r="W3" s="129"/>
      <c r="X3" s="129"/>
      <c r="Y3" s="129"/>
      <c r="Z3" s="129"/>
      <c r="AA3" s="129"/>
      <c r="AB3" s="129"/>
      <c r="AC3" s="129"/>
      <c r="AD3" s="129"/>
      <c r="AE3" s="130"/>
    </row>
    <row r="4" spans="1:31" s="10" customFormat="1" ht="12.75" customHeight="1">
      <c r="A4" s="169" t="s">
        <v>17</v>
      </c>
      <c r="B4" s="170"/>
      <c r="C4" s="170"/>
      <c r="D4" s="170"/>
      <c r="E4" s="170"/>
      <c r="F4" s="35"/>
      <c r="G4" s="36" t="s">
        <v>0</v>
      </c>
      <c r="H4" s="37" t="s">
        <v>39</v>
      </c>
      <c r="I4" s="35" t="s">
        <v>0</v>
      </c>
      <c r="J4" s="35" t="s">
        <v>0</v>
      </c>
      <c r="K4" s="38" t="s">
        <v>5</v>
      </c>
      <c r="L4" s="38" t="s">
        <v>2</v>
      </c>
      <c r="M4" s="38" t="s">
        <v>75</v>
      </c>
      <c r="N4" s="35" t="s">
        <v>5</v>
      </c>
      <c r="P4" s="35" t="s">
        <v>16</v>
      </c>
      <c r="Q4" s="38" t="s">
        <v>14</v>
      </c>
      <c r="R4" s="38"/>
      <c r="S4" s="40" t="s">
        <v>111</v>
      </c>
      <c r="T4" s="99"/>
      <c r="U4" s="131"/>
      <c r="V4" s="124"/>
      <c r="W4" s="124"/>
      <c r="X4" s="124"/>
      <c r="Y4" s="124"/>
      <c r="Z4" s="124"/>
      <c r="AA4" s="124"/>
      <c r="AB4" s="124"/>
      <c r="AC4" s="124"/>
      <c r="AD4" s="124"/>
      <c r="AE4" s="132"/>
    </row>
    <row r="5" spans="1:31" s="10" customFormat="1" ht="12.75">
      <c r="A5" s="138">
        <v>1</v>
      </c>
      <c r="B5" s="38">
        <v>2</v>
      </c>
      <c r="C5" s="38">
        <v>3</v>
      </c>
      <c r="D5" s="38">
        <v>4</v>
      </c>
      <c r="E5" s="139">
        <v>5</v>
      </c>
      <c r="F5" s="35"/>
      <c r="G5" s="41" t="s">
        <v>7</v>
      </c>
      <c r="H5" s="37" t="s">
        <v>7</v>
      </c>
      <c r="I5" s="35"/>
      <c r="J5" s="35" t="s">
        <v>76</v>
      </c>
      <c r="K5" s="101" t="s">
        <v>83</v>
      </c>
      <c r="L5" s="35"/>
      <c r="M5" s="35" t="s">
        <v>82</v>
      </c>
      <c r="N5" s="101" t="s">
        <v>83</v>
      </c>
      <c r="O5" s="39" t="s">
        <v>108</v>
      </c>
      <c r="P5" s="101" t="s">
        <v>83</v>
      </c>
      <c r="Q5" s="35" t="s">
        <v>8</v>
      </c>
      <c r="R5" s="35" t="s">
        <v>49</v>
      </c>
      <c r="S5" s="122">
        <v>0.025</v>
      </c>
      <c r="T5" s="99"/>
      <c r="U5" s="133"/>
      <c r="V5" s="125"/>
      <c r="W5" s="125"/>
      <c r="X5" s="125"/>
      <c r="Y5" s="125"/>
      <c r="Z5" s="125"/>
      <c r="AA5" s="125"/>
      <c r="AB5" s="125"/>
      <c r="AC5" s="125"/>
      <c r="AD5" s="125"/>
      <c r="AE5" s="134"/>
    </row>
    <row r="6" spans="1:32" ht="12.75">
      <c r="A6" s="159" t="s">
        <v>11</v>
      </c>
      <c r="B6" s="160"/>
      <c r="C6" s="160"/>
      <c r="D6" s="160"/>
      <c r="E6" s="161"/>
      <c r="F6" s="80"/>
      <c r="G6" s="52"/>
      <c r="H6" s="53"/>
      <c r="I6" s="54"/>
      <c r="J6" s="52"/>
      <c r="K6" s="54"/>
      <c r="L6" s="55"/>
      <c r="M6" s="54"/>
      <c r="N6" s="54"/>
      <c r="O6" s="54">
        <f>IF(OR(L6="",M6="",N6=""),"",((1-L6)*M6*N6))</f>
      </c>
      <c r="P6" s="54"/>
      <c r="Q6" s="53"/>
      <c r="R6" s="52">
        <f>(IF(J6="","",J6))</f>
      </c>
      <c r="S6" s="56">
        <f aca="true" t="shared" si="0" ref="S6:S11">IF(R6="","",Q6*((1+$S$5)^(R6-2008)))</f>
      </c>
      <c r="T6" s="97"/>
      <c r="U6" s="135"/>
      <c r="V6" s="136"/>
      <c r="W6" s="136"/>
      <c r="X6" s="136"/>
      <c r="Y6" s="136"/>
      <c r="Z6" s="136"/>
      <c r="AA6" s="136"/>
      <c r="AB6" s="136"/>
      <c r="AC6" s="136"/>
      <c r="AD6" s="136"/>
      <c r="AE6" s="137"/>
      <c r="AF6" s="8"/>
    </row>
    <row r="7" spans="1:32" ht="12.75">
      <c r="A7" s="67"/>
      <c r="B7" s="81" t="s">
        <v>35</v>
      </c>
      <c r="C7" s="82"/>
      <c r="D7" s="82"/>
      <c r="E7" s="82"/>
      <c r="F7" s="68"/>
      <c r="G7" s="69"/>
      <c r="H7" s="70"/>
      <c r="I7" s="71"/>
      <c r="J7" s="69"/>
      <c r="K7" s="71"/>
      <c r="L7" s="72"/>
      <c r="M7" s="71"/>
      <c r="N7" s="71"/>
      <c r="O7" s="71"/>
      <c r="P7" s="71"/>
      <c r="Q7" s="70"/>
      <c r="R7" s="69">
        <f>(IF(J7="","",J7))</f>
      </c>
      <c r="S7" s="73">
        <f t="shared" si="0"/>
      </c>
      <c r="T7" s="97"/>
      <c r="U7" s="127" t="s">
        <v>74</v>
      </c>
      <c r="V7" s="127">
        <f aca="true" t="shared" si="1" ref="V7:AE7">IF(V$2=$R9,$S9,"")</f>
      </c>
      <c r="W7" s="127">
        <f t="shared" si="1"/>
      </c>
      <c r="X7" s="127">
        <f t="shared" si="1"/>
      </c>
      <c r="Y7" s="127">
        <f t="shared" si="1"/>
      </c>
      <c r="Z7" s="127">
        <f t="shared" si="1"/>
        <v>60183.77488502181</v>
      </c>
      <c r="AA7" s="127">
        <f t="shared" si="1"/>
      </c>
      <c r="AB7" s="127">
        <f t="shared" si="1"/>
      </c>
      <c r="AC7" s="127">
        <f t="shared" si="1"/>
      </c>
      <c r="AD7" s="127">
        <f t="shared" si="1"/>
      </c>
      <c r="AE7" s="127">
        <f t="shared" si="1"/>
      </c>
      <c r="AF7" s="8"/>
    </row>
    <row r="8" spans="1:32" ht="12.75">
      <c r="A8" s="66"/>
      <c r="B8" s="65"/>
      <c r="C8" s="65" t="s">
        <v>77</v>
      </c>
      <c r="D8" s="65"/>
      <c r="E8" s="65"/>
      <c r="F8" s="68"/>
      <c r="G8" s="75"/>
      <c r="H8" s="76"/>
      <c r="I8" s="77"/>
      <c r="J8" s="75"/>
      <c r="K8" s="77"/>
      <c r="L8" s="78"/>
      <c r="M8" s="77"/>
      <c r="N8" s="77"/>
      <c r="O8" s="77">
        <f>IF(OR(L8="",M8="",N8=""),"",((1-L8)*M8*N8))</f>
      </c>
      <c r="P8" s="77"/>
      <c r="Q8" s="76"/>
      <c r="R8" s="75">
        <f>(IF(J8="","",J8))</f>
      </c>
      <c r="S8" s="79">
        <f t="shared" si="0"/>
      </c>
      <c r="T8" s="97"/>
      <c r="U8" s="123" t="s">
        <v>74</v>
      </c>
      <c r="V8" s="123">
        <f aca="true" t="shared" si="2" ref="V8:AE8">IF(V$2=$R10,$S10,"")</f>
      </c>
      <c r="W8" s="123">
        <f t="shared" si="2"/>
      </c>
      <c r="X8" s="123">
        <f t="shared" si="2"/>
      </c>
      <c r="Y8" s="123">
        <f t="shared" si="2"/>
      </c>
      <c r="Z8" s="123">
        <f t="shared" si="2"/>
      </c>
      <c r="AA8" s="123">
        <f t="shared" si="2"/>
        <v>67271.3389887998</v>
      </c>
      <c r="AB8" s="123">
        <f t="shared" si="2"/>
      </c>
      <c r="AC8" s="123">
        <f t="shared" si="2"/>
      </c>
      <c r="AD8" s="123">
        <f t="shared" si="2"/>
      </c>
      <c r="AE8" s="123">
        <f t="shared" si="2"/>
      </c>
      <c r="AF8" s="8"/>
    </row>
    <row r="9" spans="1:32" ht="12.75">
      <c r="A9" s="42"/>
      <c r="B9" s="43"/>
      <c r="C9" s="43"/>
      <c r="D9" s="43" t="s">
        <v>78</v>
      </c>
      <c r="E9" s="43"/>
      <c r="F9" s="51" t="s">
        <v>61</v>
      </c>
      <c r="G9" s="49">
        <v>1919</v>
      </c>
      <c r="H9" s="48">
        <v>8950</v>
      </c>
      <c r="I9" s="46">
        <v>100</v>
      </c>
      <c r="J9" s="49">
        <f aca="true" t="shared" si="3" ref="J9:J17">G9+I9</f>
        <v>2019</v>
      </c>
      <c r="K9" s="46">
        <v>8</v>
      </c>
      <c r="L9" s="47">
        <v>0</v>
      </c>
      <c r="M9" s="46">
        <f aca="true" t="shared" si="4" ref="M9:M17">10-K9</f>
        <v>2</v>
      </c>
      <c r="N9" s="46">
        <v>3</v>
      </c>
      <c r="O9" s="46">
        <f>IF(OR(L9="",M9="",N9=""),"",((1-L9)*M9*N9))</f>
        <v>6</v>
      </c>
      <c r="P9" s="46">
        <v>6</v>
      </c>
      <c r="Q9" s="48">
        <v>44750</v>
      </c>
      <c r="R9" s="49">
        <v>2020</v>
      </c>
      <c r="S9" s="50">
        <f t="shared" si="0"/>
        <v>60183.77488502181</v>
      </c>
      <c r="T9" s="97"/>
      <c r="U9" s="89" t="s">
        <v>74</v>
      </c>
      <c r="V9" s="89">
        <f aca="true" t="shared" si="5" ref="V9:AE9">IF(V$2=$R11,$S11,"")</f>
      </c>
      <c r="W9" s="89">
        <f t="shared" si="5"/>
      </c>
      <c r="X9" s="89">
        <f t="shared" si="5"/>
      </c>
      <c r="Y9" s="89">
        <f t="shared" si="5"/>
      </c>
      <c r="Z9" s="89">
        <f t="shared" si="5"/>
      </c>
      <c r="AA9" s="89">
        <f t="shared" si="5"/>
      </c>
      <c r="AB9" s="89">
        <f t="shared" si="5"/>
        <v>71708.42141441863</v>
      </c>
      <c r="AC9" s="89">
        <f t="shared" si="5"/>
      </c>
      <c r="AD9" s="89">
        <f t="shared" si="5"/>
      </c>
      <c r="AE9" s="89">
        <f t="shared" si="5"/>
      </c>
      <c r="AF9" s="8"/>
    </row>
    <row r="10" spans="1:32" ht="12.75">
      <c r="A10" s="42"/>
      <c r="B10" s="43"/>
      <c r="C10" s="43"/>
      <c r="D10" s="43" t="s">
        <v>79</v>
      </c>
      <c r="E10" s="43"/>
      <c r="F10" s="51" t="s">
        <v>62</v>
      </c>
      <c r="G10" s="49">
        <v>1919</v>
      </c>
      <c r="H10" s="48">
        <v>9760</v>
      </c>
      <c r="I10" s="46">
        <v>100</v>
      </c>
      <c r="J10" s="49">
        <f t="shared" si="3"/>
        <v>2019</v>
      </c>
      <c r="K10" s="46">
        <v>8</v>
      </c>
      <c r="L10" s="47">
        <v>0</v>
      </c>
      <c r="M10" s="46">
        <f t="shared" si="4"/>
        <v>2</v>
      </c>
      <c r="N10" s="46">
        <v>3</v>
      </c>
      <c r="O10" s="46">
        <f>IF(OR(L10="",M10="",N10=""),"",((1-L10)*M10*N10))</f>
        <v>6</v>
      </c>
      <c r="P10" s="46">
        <v>6</v>
      </c>
      <c r="Q10" s="48">
        <v>48800</v>
      </c>
      <c r="R10" s="49">
        <v>2021</v>
      </c>
      <c r="S10" s="50">
        <f t="shared" si="0"/>
        <v>67271.3389887998</v>
      </c>
      <c r="T10" s="97"/>
      <c r="U10" s="89" t="s">
        <v>74</v>
      </c>
      <c r="V10" s="89">
        <f aca="true" t="shared" si="6" ref="V10:AE10">IF(V$2=$R12,$S12,"")</f>
        <v>350000</v>
      </c>
      <c r="W10" s="89">
        <f t="shared" si="6"/>
      </c>
      <c r="X10" s="89">
        <f t="shared" si="6"/>
      </c>
      <c r="Y10" s="89">
        <f t="shared" si="6"/>
      </c>
      <c r="Z10" s="89">
        <f t="shared" si="6"/>
      </c>
      <c r="AA10" s="89">
        <f t="shared" si="6"/>
      </c>
      <c r="AB10" s="89">
        <f t="shared" si="6"/>
      </c>
      <c r="AC10" s="89">
        <f t="shared" si="6"/>
      </c>
      <c r="AD10" s="89">
        <f t="shared" si="6"/>
      </c>
      <c r="AE10" s="89">
        <f t="shared" si="6"/>
      </c>
      <c r="AF10" s="8"/>
    </row>
    <row r="11" spans="1:32" ht="12.75">
      <c r="A11" s="42"/>
      <c r="B11" s="43"/>
      <c r="C11" s="43"/>
      <c r="D11" s="43" t="s">
        <v>80</v>
      </c>
      <c r="E11" s="43"/>
      <c r="F11" s="51" t="s">
        <v>63</v>
      </c>
      <c r="G11" s="49">
        <v>1919</v>
      </c>
      <c r="H11" s="48">
        <v>10150</v>
      </c>
      <c r="I11" s="46">
        <v>100</v>
      </c>
      <c r="J11" s="49">
        <f t="shared" si="3"/>
        <v>2019</v>
      </c>
      <c r="K11" s="46">
        <v>6</v>
      </c>
      <c r="L11" s="47">
        <v>0</v>
      </c>
      <c r="M11" s="46">
        <f t="shared" si="4"/>
        <v>4</v>
      </c>
      <c r="N11" s="46">
        <v>5</v>
      </c>
      <c r="O11" s="46">
        <f>IF(OR(L11="",M11="",N11=""),"",((1-L11)*M11*N11))</f>
        <v>20</v>
      </c>
      <c r="P11" s="46">
        <v>6</v>
      </c>
      <c r="Q11" s="48">
        <v>50750</v>
      </c>
      <c r="R11" s="49">
        <v>2022</v>
      </c>
      <c r="S11" s="50">
        <f t="shared" si="0"/>
        <v>71708.42141441863</v>
      </c>
      <c r="T11" s="97"/>
      <c r="U11" s="89" t="s">
        <v>74</v>
      </c>
      <c r="V11" s="89">
        <f aca="true" t="shared" si="7" ref="V11:AE11">IF(V$2=$R24,$S24,"")</f>
      </c>
      <c r="W11" s="89">
        <f t="shared" si="7"/>
      </c>
      <c r="X11" s="89">
        <f t="shared" si="7"/>
      </c>
      <c r="Y11" s="89">
        <f t="shared" si="7"/>
      </c>
      <c r="Z11" s="89">
        <f t="shared" si="7"/>
      </c>
      <c r="AA11" s="89">
        <f t="shared" si="7"/>
      </c>
      <c r="AB11" s="89">
        <f t="shared" si="7"/>
      </c>
      <c r="AC11" s="89">
        <f t="shared" si="7"/>
      </c>
      <c r="AD11" s="89">
        <f t="shared" si="7"/>
      </c>
      <c r="AE11" s="89">
        <f t="shared" si="7"/>
      </c>
      <c r="AF11" s="8"/>
    </row>
    <row r="12" spans="1:32" ht="12.75">
      <c r="A12" s="42"/>
      <c r="B12" s="43"/>
      <c r="C12" s="43"/>
      <c r="D12" s="43" t="s">
        <v>81</v>
      </c>
      <c r="E12" s="43"/>
      <c r="F12" s="51" t="s">
        <v>64</v>
      </c>
      <c r="G12" s="49">
        <v>1895</v>
      </c>
      <c r="H12" s="48">
        <v>8850</v>
      </c>
      <c r="I12" s="46">
        <v>100</v>
      </c>
      <c r="J12" s="49">
        <f t="shared" si="3"/>
        <v>1995</v>
      </c>
      <c r="K12" s="46">
        <v>3</v>
      </c>
      <c r="L12" s="47">
        <v>0</v>
      </c>
      <c r="M12" s="46">
        <f t="shared" si="4"/>
        <v>7</v>
      </c>
      <c r="N12" s="46">
        <v>5</v>
      </c>
      <c r="O12" s="46">
        <f>IF(OR(L12="",M12="",N12=""),"",((1-L12)*M12*N12))</f>
        <v>35</v>
      </c>
      <c r="P12" s="46">
        <v>6</v>
      </c>
      <c r="Q12" s="48">
        <v>341250</v>
      </c>
      <c r="R12" s="49">
        <v>2016</v>
      </c>
      <c r="S12" s="50">
        <v>350000</v>
      </c>
      <c r="T12" s="97"/>
      <c r="U12" s="89" t="s">
        <v>74</v>
      </c>
      <c r="V12" s="89">
        <f aca="true" t="shared" si="8" ref="V12:AE12">IF(V$2=$R14,$S14,"")</f>
      </c>
      <c r="W12" s="89">
        <f t="shared" si="8"/>
      </c>
      <c r="X12" s="89">
        <f t="shared" si="8"/>
      </c>
      <c r="Y12" s="89">
        <f t="shared" si="8"/>
      </c>
      <c r="Z12" s="89">
        <f t="shared" si="8"/>
      </c>
      <c r="AA12" s="89">
        <f t="shared" si="8"/>
      </c>
      <c r="AB12" s="89">
        <f t="shared" si="8"/>
      </c>
      <c r="AC12" s="89">
        <f t="shared" si="8"/>
      </c>
      <c r="AD12" s="89">
        <f t="shared" si="8"/>
      </c>
      <c r="AE12" s="89">
        <f t="shared" si="8"/>
      </c>
      <c r="AF12" s="8"/>
    </row>
    <row r="13" spans="1:32" ht="12.75">
      <c r="A13" s="42"/>
      <c r="B13" s="43"/>
      <c r="C13" s="43"/>
      <c r="D13" s="43" t="s">
        <v>85</v>
      </c>
      <c r="E13" s="44"/>
      <c r="F13" s="51" t="s">
        <v>96</v>
      </c>
      <c r="G13" s="49">
        <v>1936</v>
      </c>
      <c r="H13" s="48">
        <v>15000</v>
      </c>
      <c r="I13" s="46">
        <v>100</v>
      </c>
      <c r="J13" s="49">
        <f t="shared" si="3"/>
        <v>2036</v>
      </c>
      <c r="K13" s="46">
        <v>6</v>
      </c>
      <c r="L13" s="47">
        <v>0</v>
      </c>
      <c r="M13" s="46">
        <f t="shared" si="4"/>
        <v>4</v>
      </c>
      <c r="N13" s="46">
        <v>3</v>
      </c>
      <c r="O13" s="46">
        <f aca="true" t="shared" si="9" ref="O13:O23">IF(OR(L13="",M13="",N13=""),"",((1-L13)*M13*N13))</f>
        <v>12</v>
      </c>
      <c r="P13" s="46">
        <v>2</v>
      </c>
      <c r="Q13" s="48"/>
      <c r="R13" s="49">
        <v>2025</v>
      </c>
      <c r="S13" s="50">
        <f aca="true" t="shared" si="10" ref="S13:S23">IF(R13="","",Q13*((1+$S$5)^(R13-2008)))</f>
        <v>0</v>
      </c>
      <c r="T13" s="97"/>
      <c r="U13" s="89" t="s">
        <v>74</v>
      </c>
      <c r="V13" s="89">
        <f aca="true" t="shared" si="11" ref="V13:AE13">IF(V$2=$R15,$S15,"")</f>
      </c>
      <c r="W13" s="89">
        <f t="shared" si="11"/>
      </c>
      <c r="X13" s="89">
        <f t="shared" si="11"/>
      </c>
      <c r="Y13" s="89">
        <f t="shared" si="11"/>
      </c>
      <c r="Z13" s="89">
        <f t="shared" si="11"/>
      </c>
      <c r="AA13" s="89">
        <f t="shared" si="11"/>
      </c>
      <c r="AB13" s="89">
        <f t="shared" si="11"/>
      </c>
      <c r="AC13" s="89">
        <f t="shared" si="11"/>
      </c>
      <c r="AD13" s="89">
        <f t="shared" si="11"/>
      </c>
      <c r="AE13" s="89">
        <f t="shared" si="11"/>
      </c>
      <c r="AF13" s="8"/>
    </row>
    <row r="14" spans="1:32" ht="12.75">
      <c r="A14" s="42"/>
      <c r="B14" s="43"/>
      <c r="C14" s="43"/>
      <c r="D14" s="43" t="s">
        <v>86</v>
      </c>
      <c r="E14" s="44"/>
      <c r="F14" s="51" t="s">
        <v>97</v>
      </c>
      <c r="G14" s="49">
        <v>1948</v>
      </c>
      <c r="H14" s="48">
        <v>15000</v>
      </c>
      <c r="I14" s="46">
        <v>100</v>
      </c>
      <c r="J14" s="49">
        <f t="shared" si="3"/>
        <v>2048</v>
      </c>
      <c r="K14" s="46">
        <v>6</v>
      </c>
      <c r="L14" s="47">
        <v>0</v>
      </c>
      <c r="M14" s="46">
        <f t="shared" si="4"/>
        <v>4</v>
      </c>
      <c r="N14" s="46">
        <v>3</v>
      </c>
      <c r="O14" s="46">
        <f t="shared" si="9"/>
        <v>12</v>
      </c>
      <c r="P14" s="46">
        <v>2</v>
      </c>
      <c r="Q14" s="48"/>
      <c r="R14" s="49">
        <v>2045</v>
      </c>
      <c r="S14" s="50">
        <f t="shared" si="10"/>
        <v>0</v>
      </c>
      <c r="T14" s="97"/>
      <c r="U14" s="89" t="s">
        <v>74</v>
      </c>
      <c r="V14" s="89">
        <f aca="true" t="shared" si="12" ref="V14:AE14">IF(V$2=$R16,$S16,"")</f>
      </c>
      <c r="W14" s="89">
        <f t="shared" si="12"/>
      </c>
      <c r="X14" s="89">
        <f t="shared" si="12"/>
      </c>
      <c r="Y14" s="89">
        <f t="shared" si="12"/>
      </c>
      <c r="Z14" s="89">
        <f t="shared" si="12"/>
      </c>
      <c r="AA14" s="89">
        <f t="shared" si="12"/>
      </c>
      <c r="AB14" s="89">
        <f t="shared" si="12"/>
      </c>
      <c r="AC14" s="89">
        <f t="shared" si="12"/>
      </c>
      <c r="AD14" s="89">
        <f t="shared" si="12"/>
      </c>
      <c r="AE14" s="89">
        <f t="shared" si="12"/>
      </c>
      <c r="AF14" s="8"/>
    </row>
    <row r="15" spans="1:32" ht="12.75">
      <c r="A15" s="42"/>
      <c r="B15" s="43"/>
      <c r="C15" s="43"/>
      <c r="D15" s="43" t="s">
        <v>89</v>
      </c>
      <c r="E15" s="44"/>
      <c r="F15" s="51" t="s">
        <v>99</v>
      </c>
      <c r="G15" s="49">
        <v>2002</v>
      </c>
      <c r="H15" s="48">
        <v>285000</v>
      </c>
      <c r="I15" s="46">
        <v>100</v>
      </c>
      <c r="J15" s="49">
        <f t="shared" si="3"/>
        <v>2102</v>
      </c>
      <c r="K15" s="46">
        <v>10</v>
      </c>
      <c r="L15" s="47">
        <v>0</v>
      </c>
      <c r="M15" s="46">
        <f t="shared" si="4"/>
        <v>0</v>
      </c>
      <c r="N15" s="46">
        <v>9</v>
      </c>
      <c r="O15" s="46">
        <f t="shared" si="9"/>
        <v>0</v>
      </c>
      <c r="P15" s="46">
        <v>6</v>
      </c>
      <c r="Q15" s="48">
        <v>350000</v>
      </c>
      <c r="R15" s="49">
        <v>2075</v>
      </c>
      <c r="S15" s="50">
        <f t="shared" si="10"/>
        <v>1830488.5877431561</v>
      </c>
      <c r="T15" s="97"/>
      <c r="U15" s="89" t="s">
        <v>74</v>
      </c>
      <c r="V15" s="89">
        <f aca="true" t="shared" si="13" ref="V15:AE15">IF(V$2=$R17,$S17,"")</f>
      </c>
      <c r="W15" s="89">
        <f t="shared" si="13"/>
      </c>
      <c r="X15" s="89">
        <f t="shared" si="13"/>
      </c>
      <c r="Y15" s="89">
        <f t="shared" si="13"/>
      </c>
      <c r="Z15" s="89">
        <f t="shared" si="13"/>
      </c>
      <c r="AA15" s="89">
        <f t="shared" si="13"/>
      </c>
      <c r="AB15" s="89">
        <f t="shared" si="13"/>
      </c>
      <c r="AC15" s="89">
        <f t="shared" si="13"/>
      </c>
      <c r="AD15" s="89">
        <f t="shared" si="13"/>
      </c>
      <c r="AE15" s="89">
        <f t="shared" si="13"/>
      </c>
      <c r="AF15" s="8"/>
    </row>
    <row r="16" spans="1:32" ht="12.75">
      <c r="A16" s="42"/>
      <c r="B16" s="43"/>
      <c r="C16" s="43"/>
      <c r="D16" s="43" t="s">
        <v>87</v>
      </c>
      <c r="E16" s="44"/>
      <c r="F16" s="51" t="s">
        <v>98</v>
      </c>
      <c r="G16" s="49">
        <v>1936</v>
      </c>
      <c r="H16" s="48">
        <v>22000</v>
      </c>
      <c r="I16" s="46">
        <v>100</v>
      </c>
      <c r="J16" s="49">
        <f t="shared" si="3"/>
        <v>2036</v>
      </c>
      <c r="K16" s="46">
        <v>4</v>
      </c>
      <c r="L16" s="47">
        <v>0</v>
      </c>
      <c r="M16" s="46">
        <f t="shared" si="4"/>
        <v>6</v>
      </c>
      <c r="N16" s="46">
        <v>5</v>
      </c>
      <c r="O16" s="46">
        <f t="shared" si="9"/>
        <v>30</v>
      </c>
      <c r="P16" s="46">
        <v>7</v>
      </c>
      <c r="Q16" s="48">
        <v>110000</v>
      </c>
      <c r="R16" s="49">
        <v>2035</v>
      </c>
      <c r="S16" s="50">
        <f t="shared" si="10"/>
        <v>214258.00201296833</v>
      </c>
      <c r="T16" s="97"/>
      <c r="U16" s="89"/>
      <c r="V16" s="89"/>
      <c r="W16" s="89"/>
      <c r="X16" s="89"/>
      <c r="Y16" s="89"/>
      <c r="Z16" s="89"/>
      <c r="AA16" s="89"/>
      <c r="AB16" s="89"/>
      <c r="AC16" s="89"/>
      <c r="AD16" s="89"/>
      <c r="AE16" s="89"/>
      <c r="AF16" s="8"/>
    </row>
    <row r="17" spans="1:32" ht="12.75">
      <c r="A17" s="42"/>
      <c r="B17" s="43"/>
      <c r="C17" s="43"/>
      <c r="D17" s="43" t="s">
        <v>88</v>
      </c>
      <c r="E17" s="44"/>
      <c r="F17" s="51" t="s">
        <v>100</v>
      </c>
      <c r="G17" s="49">
        <v>1942</v>
      </c>
      <c r="H17" s="48">
        <v>25000</v>
      </c>
      <c r="I17" s="46">
        <v>100</v>
      </c>
      <c r="J17" s="49">
        <f t="shared" si="3"/>
        <v>2042</v>
      </c>
      <c r="K17" s="46">
        <v>4</v>
      </c>
      <c r="L17" s="47">
        <v>0</v>
      </c>
      <c r="M17" s="46">
        <f t="shared" si="4"/>
        <v>6</v>
      </c>
      <c r="N17" s="46">
        <v>5</v>
      </c>
      <c r="O17" s="46">
        <f t="shared" si="9"/>
        <v>30</v>
      </c>
      <c r="P17" s="46">
        <v>7</v>
      </c>
      <c r="Q17" s="48">
        <v>110000</v>
      </c>
      <c r="R17" s="49">
        <v>2045</v>
      </c>
      <c r="S17" s="50">
        <f t="shared" si="10"/>
        <v>274268.3568471928</v>
      </c>
      <c r="T17" s="97"/>
      <c r="U17" s="89" t="s">
        <v>74</v>
      </c>
      <c r="V17" s="89">
        <f aca="true" t="shared" si="14" ref="V17:AE17">IF(V$2=$R19,$S19,"")</f>
      </c>
      <c r="W17" s="89">
        <f t="shared" si="14"/>
      </c>
      <c r="X17" s="89">
        <f t="shared" si="14"/>
      </c>
      <c r="Y17" s="89">
        <f t="shared" si="14"/>
      </c>
      <c r="Z17" s="89">
        <f t="shared" si="14"/>
      </c>
      <c r="AA17" s="89">
        <f t="shared" si="14"/>
        <v>88224.70687055711</v>
      </c>
      <c r="AB17" s="89">
        <f t="shared" si="14"/>
      </c>
      <c r="AC17" s="89">
        <f t="shared" si="14"/>
      </c>
      <c r="AD17" s="89">
        <f t="shared" si="14"/>
      </c>
      <c r="AE17" s="89">
        <f t="shared" si="14"/>
      </c>
      <c r="AF17" s="8"/>
    </row>
    <row r="18" spans="1:32" ht="12.75">
      <c r="A18" s="42"/>
      <c r="B18" s="43"/>
      <c r="C18" s="43"/>
      <c r="D18" s="43" t="s">
        <v>91</v>
      </c>
      <c r="E18" s="43"/>
      <c r="F18" s="51" t="s">
        <v>101</v>
      </c>
      <c r="G18" s="49">
        <v>1936</v>
      </c>
      <c r="H18" s="48">
        <v>5950</v>
      </c>
      <c r="I18" s="46">
        <v>100</v>
      </c>
      <c r="J18" s="49">
        <f aca="true" t="shared" si="15" ref="J18:J23">G18+I18</f>
        <v>2036</v>
      </c>
      <c r="K18" s="46">
        <v>4</v>
      </c>
      <c r="L18" s="47">
        <v>0</v>
      </c>
      <c r="M18" s="46">
        <f aca="true" t="shared" si="16" ref="M18:M23">10-K18</f>
        <v>6</v>
      </c>
      <c r="N18" s="46">
        <v>3</v>
      </c>
      <c r="O18" s="46">
        <f t="shared" si="9"/>
        <v>18</v>
      </c>
      <c r="P18" s="46">
        <v>8</v>
      </c>
      <c r="Q18" s="48">
        <v>59500</v>
      </c>
      <c r="R18" s="49">
        <v>2020</v>
      </c>
      <c r="S18" s="50">
        <f t="shared" si="10"/>
        <v>80020.8850426547</v>
      </c>
      <c r="T18" s="97"/>
      <c r="U18" s="89" t="s">
        <v>74</v>
      </c>
      <c r="V18" s="89">
        <f aca="true" t="shared" si="17" ref="V18:AE18">IF(V$2=$R20,$S20,"")</f>
      </c>
      <c r="W18" s="89">
        <f t="shared" si="17"/>
      </c>
      <c r="X18" s="89">
        <f t="shared" si="17"/>
      </c>
      <c r="Y18" s="89">
        <f t="shared" si="17"/>
      </c>
      <c r="Z18" s="89">
        <f t="shared" si="17"/>
      </c>
      <c r="AA18" s="89">
        <f t="shared" si="17"/>
      </c>
      <c r="AB18" s="89">
        <f t="shared" si="17"/>
        <v>67116.25649625389</v>
      </c>
      <c r="AC18" s="89">
        <f t="shared" si="17"/>
      </c>
      <c r="AD18" s="89">
        <f t="shared" si="17"/>
      </c>
      <c r="AE18" s="89">
        <f t="shared" si="17"/>
      </c>
      <c r="AF18" s="8"/>
    </row>
    <row r="19" spans="1:32" ht="12.75">
      <c r="A19" s="42"/>
      <c r="B19" s="43"/>
      <c r="C19" s="43"/>
      <c r="D19" s="43" t="s">
        <v>90</v>
      </c>
      <c r="E19" s="43"/>
      <c r="F19" s="51" t="s">
        <v>103</v>
      </c>
      <c r="G19" s="49">
        <v>1936</v>
      </c>
      <c r="H19" s="48">
        <v>6400</v>
      </c>
      <c r="I19" s="46">
        <v>100</v>
      </c>
      <c r="J19" s="49">
        <f t="shared" si="15"/>
        <v>2036</v>
      </c>
      <c r="K19" s="46">
        <v>4</v>
      </c>
      <c r="L19" s="47">
        <v>0</v>
      </c>
      <c r="M19" s="46">
        <f t="shared" si="16"/>
        <v>6</v>
      </c>
      <c r="N19" s="46">
        <v>3</v>
      </c>
      <c r="O19" s="46">
        <f t="shared" si="9"/>
        <v>18</v>
      </c>
      <c r="P19" s="46">
        <v>8</v>
      </c>
      <c r="Q19" s="48">
        <v>64000</v>
      </c>
      <c r="R19" s="49">
        <v>2021</v>
      </c>
      <c r="S19" s="50">
        <f t="shared" si="10"/>
        <v>88224.70687055711</v>
      </c>
      <c r="T19" s="97"/>
      <c r="U19" s="89" t="s">
        <v>74</v>
      </c>
      <c r="V19" s="89">
        <f aca="true" t="shared" si="18" ref="V19:AE19">IF(V$2=$R21,$S21,"")</f>
      </c>
      <c r="W19" s="89">
        <f t="shared" si="18"/>
      </c>
      <c r="X19" s="89">
        <f t="shared" si="18"/>
      </c>
      <c r="Y19" s="89">
        <f t="shared" si="18"/>
      </c>
      <c r="Z19" s="89">
        <f t="shared" si="18"/>
      </c>
      <c r="AA19" s="89">
        <f t="shared" si="18"/>
      </c>
      <c r="AB19" s="89">
        <f t="shared" si="18"/>
      </c>
      <c r="AC19" s="89">
        <f t="shared" si="18"/>
        <v>158588.6492315431</v>
      </c>
      <c r="AD19" s="89">
        <f t="shared" si="18"/>
      </c>
      <c r="AE19" s="89">
        <f t="shared" si="18"/>
      </c>
      <c r="AF19" s="8"/>
    </row>
    <row r="20" spans="1:32" ht="12.75">
      <c r="A20" s="42"/>
      <c r="B20" s="43"/>
      <c r="C20" s="43"/>
      <c r="D20" s="43" t="s">
        <v>92</v>
      </c>
      <c r="E20" s="43"/>
      <c r="F20" s="51" t="s">
        <v>102</v>
      </c>
      <c r="G20" s="49">
        <v>1936</v>
      </c>
      <c r="H20" s="48">
        <v>4750</v>
      </c>
      <c r="I20" s="46">
        <v>100</v>
      </c>
      <c r="J20" s="49">
        <f t="shared" si="15"/>
        <v>2036</v>
      </c>
      <c r="K20" s="46">
        <v>4</v>
      </c>
      <c r="L20" s="47">
        <v>0</v>
      </c>
      <c r="M20" s="46">
        <f t="shared" si="16"/>
        <v>6</v>
      </c>
      <c r="N20" s="46">
        <v>3</v>
      </c>
      <c r="O20" s="46">
        <f t="shared" si="9"/>
        <v>18</v>
      </c>
      <c r="P20" s="46">
        <v>8</v>
      </c>
      <c r="Q20" s="48">
        <v>47500</v>
      </c>
      <c r="R20" s="49">
        <v>2022</v>
      </c>
      <c r="S20" s="50">
        <f t="shared" si="10"/>
        <v>67116.25649625389</v>
      </c>
      <c r="T20" s="97"/>
      <c r="U20" s="89" t="s">
        <v>74</v>
      </c>
      <c r="V20" s="89">
        <f aca="true" t="shared" si="19" ref="V20:AE20">IF(V$2=$R22,$S22,"")</f>
      </c>
      <c r="W20" s="89">
        <f t="shared" si="19"/>
      </c>
      <c r="X20" s="89">
        <f t="shared" si="19"/>
      </c>
      <c r="Y20" s="89">
        <f t="shared" si="19"/>
      </c>
      <c r="Z20" s="89">
        <f t="shared" si="19"/>
      </c>
      <c r="AA20" s="89">
        <f t="shared" si="19"/>
      </c>
      <c r="AB20" s="89">
        <f t="shared" si="19"/>
      </c>
      <c r="AC20" s="89">
        <f t="shared" si="19"/>
      </c>
      <c r="AD20" s="89">
        <f t="shared" si="19"/>
        <v>3340.137646486267</v>
      </c>
      <c r="AE20" s="89">
        <f t="shared" si="19"/>
      </c>
      <c r="AF20" s="8"/>
    </row>
    <row r="21" spans="1:32" ht="12.75">
      <c r="A21" s="42"/>
      <c r="B21" s="43"/>
      <c r="C21" s="43"/>
      <c r="D21" s="43" t="s">
        <v>93</v>
      </c>
      <c r="E21" s="43"/>
      <c r="F21" s="51" t="s">
        <v>104</v>
      </c>
      <c r="G21" s="49">
        <v>1936</v>
      </c>
      <c r="H21" s="48">
        <v>10950</v>
      </c>
      <c r="I21" s="46">
        <v>100</v>
      </c>
      <c r="J21" s="49">
        <f t="shared" si="15"/>
        <v>2036</v>
      </c>
      <c r="K21" s="46">
        <v>4</v>
      </c>
      <c r="L21" s="47">
        <v>0</v>
      </c>
      <c r="M21" s="46">
        <f t="shared" si="16"/>
        <v>6</v>
      </c>
      <c r="N21" s="46">
        <v>3</v>
      </c>
      <c r="O21" s="46">
        <f t="shared" si="9"/>
        <v>18</v>
      </c>
      <c r="P21" s="46">
        <v>8</v>
      </c>
      <c r="Q21" s="48">
        <v>109500</v>
      </c>
      <c r="R21" s="49">
        <v>2023</v>
      </c>
      <c r="S21" s="50">
        <f t="shared" si="10"/>
        <v>158588.6492315431</v>
      </c>
      <c r="T21" s="97"/>
      <c r="U21" s="89" t="s">
        <v>74</v>
      </c>
      <c r="V21" s="89">
        <f aca="true" t="shared" si="20" ref="V21:AE21">IF(V$2=$R23,$S23,"")</f>
      </c>
      <c r="W21" s="89">
        <f t="shared" si="20"/>
      </c>
      <c r="X21" s="89">
        <f t="shared" si="20"/>
      </c>
      <c r="Y21" s="89">
        <f t="shared" si="20"/>
      </c>
      <c r="Z21" s="89">
        <f t="shared" si="20"/>
      </c>
      <c r="AA21" s="89">
        <f t="shared" si="20"/>
      </c>
      <c r="AB21" s="89">
        <f t="shared" si="20"/>
      </c>
      <c r="AC21" s="89">
        <f t="shared" si="20"/>
      </c>
      <c r="AD21" s="89">
        <f t="shared" si="20"/>
      </c>
      <c r="AE21" s="89">
        <f t="shared" si="20"/>
      </c>
      <c r="AF21" s="8"/>
    </row>
    <row r="22" spans="1:32" ht="12.75">
      <c r="A22" s="42"/>
      <c r="B22" s="43"/>
      <c r="C22" s="43"/>
      <c r="D22" s="43" t="s">
        <v>94</v>
      </c>
      <c r="E22" s="44"/>
      <c r="F22" s="51" t="s">
        <v>105</v>
      </c>
      <c r="G22" s="49">
        <v>1945</v>
      </c>
      <c r="H22" s="48">
        <v>375</v>
      </c>
      <c r="I22" s="46">
        <v>100</v>
      </c>
      <c r="J22" s="49">
        <f t="shared" si="15"/>
        <v>2045</v>
      </c>
      <c r="K22" s="46">
        <v>6</v>
      </c>
      <c r="L22" s="47">
        <v>0</v>
      </c>
      <c r="M22" s="46">
        <f t="shared" si="16"/>
        <v>4</v>
      </c>
      <c r="N22" s="46">
        <v>1</v>
      </c>
      <c r="O22" s="46">
        <f t="shared" si="9"/>
        <v>4</v>
      </c>
      <c r="P22" s="46">
        <v>6</v>
      </c>
      <c r="Q22" s="48">
        <v>2250</v>
      </c>
      <c r="R22" s="49">
        <v>2024</v>
      </c>
      <c r="S22" s="50">
        <f t="shared" si="10"/>
        <v>3340.137646486267</v>
      </c>
      <c r="T22" s="97"/>
      <c r="U22" s="89"/>
      <c r="V22" s="89"/>
      <c r="W22" s="89"/>
      <c r="X22" s="89"/>
      <c r="Y22" s="89"/>
      <c r="Z22" s="89"/>
      <c r="AA22" s="89"/>
      <c r="AB22" s="89"/>
      <c r="AC22" s="89"/>
      <c r="AD22" s="89"/>
      <c r="AE22" s="89"/>
      <c r="AF22" s="8"/>
    </row>
    <row r="23" spans="1:32" ht="12.75">
      <c r="A23" s="42"/>
      <c r="B23" s="43"/>
      <c r="C23" s="43"/>
      <c r="D23" s="43" t="s">
        <v>95</v>
      </c>
      <c r="E23" s="44"/>
      <c r="F23" s="51" t="s">
        <v>106</v>
      </c>
      <c r="G23" s="49">
        <v>1995</v>
      </c>
      <c r="H23" s="48">
        <v>61600</v>
      </c>
      <c r="I23" s="46">
        <v>100</v>
      </c>
      <c r="J23" s="49">
        <f t="shared" si="15"/>
        <v>2095</v>
      </c>
      <c r="K23" s="46">
        <v>8</v>
      </c>
      <c r="L23" s="47">
        <v>0</v>
      </c>
      <c r="M23" s="46">
        <f t="shared" si="16"/>
        <v>2</v>
      </c>
      <c r="N23" s="46">
        <v>1</v>
      </c>
      <c r="O23" s="46">
        <f t="shared" si="9"/>
        <v>2</v>
      </c>
      <c r="P23" s="46">
        <v>8</v>
      </c>
      <c r="Q23" s="48">
        <v>25200</v>
      </c>
      <c r="R23" s="49">
        <v>2035</v>
      </c>
      <c r="S23" s="50">
        <f t="shared" si="10"/>
        <v>49084.560461152745</v>
      </c>
      <c r="T23" s="97"/>
      <c r="U23" s="89" t="s">
        <v>74</v>
      </c>
      <c r="V23" s="89">
        <f aca="true" t="shared" si="21" ref="V23:AE23">IF(V$2=$R25,$S25,"")</f>
      </c>
      <c r="W23" s="89">
        <f t="shared" si="21"/>
      </c>
      <c r="X23" s="89">
        <f t="shared" si="21"/>
      </c>
      <c r="Y23" s="89">
        <f t="shared" si="21"/>
      </c>
      <c r="Z23" s="89">
        <f t="shared" si="21"/>
      </c>
      <c r="AA23" s="89">
        <f t="shared" si="21"/>
      </c>
      <c r="AB23" s="89">
        <f t="shared" si="21"/>
      </c>
      <c r="AC23" s="89">
        <f t="shared" si="21"/>
      </c>
      <c r="AD23" s="89">
        <f t="shared" si="21"/>
      </c>
      <c r="AE23" s="89">
        <f t="shared" si="21"/>
      </c>
      <c r="AF23" s="8"/>
    </row>
    <row r="24" spans="1:32" ht="12.75">
      <c r="A24" s="67"/>
      <c r="B24" s="176" t="s">
        <v>10</v>
      </c>
      <c r="C24" s="176"/>
      <c r="D24" s="176"/>
      <c r="E24" s="176"/>
      <c r="F24" s="68"/>
      <c r="G24" s="69"/>
      <c r="H24" s="70"/>
      <c r="I24" s="71"/>
      <c r="J24" s="69"/>
      <c r="K24" s="71"/>
      <c r="L24" s="72"/>
      <c r="M24" s="71"/>
      <c r="N24" s="71"/>
      <c r="O24" s="71">
        <f aca="true" t="shared" si="22" ref="O24:O31">IF(OR(L24="",M24="",N24=""),"",((1-L24)*M24*N24))</f>
      </c>
      <c r="P24" s="71"/>
      <c r="Q24" s="70"/>
      <c r="R24" s="69">
        <f>(IF(J24="","",J24))</f>
      </c>
      <c r="S24" s="73">
        <f aca="true" t="shared" si="23" ref="S24:S31">IF(R24="","",Q24*((1+$S$5)^(R24-2008)))</f>
      </c>
      <c r="T24" s="97"/>
      <c r="U24" s="89" t="s">
        <v>74</v>
      </c>
      <c r="V24" s="89">
        <f aca="true" t="shared" si="24" ref="V24:AE24">IF(V$2=$R26,$S26,"")</f>
      </c>
      <c r="W24" s="89">
        <f t="shared" si="24"/>
      </c>
      <c r="X24" s="89">
        <f t="shared" si="24"/>
        <v>38402.53632589071</v>
      </c>
      <c r="Y24" s="89">
        <f t="shared" si="24"/>
      </c>
      <c r="Z24" s="89">
        <f t="shared" si="24"/>
      </c>
      <c r="AA24" s="89">
        <f t="shared" si="24"/>
      </c>
      <c r="AB24" s="89">
        <f t="shared" si="24"/>
      </c>
      <c r="AC24" s="89">
        <f t="shared" si="24"/>
      </c>
      <c r="AD24" s="89">
        <f t="shared" si="24"/>
      </c>
      <c r="AE24" s="89">
        <f t="shared" si="24"/>
      </c>
      <c r="AF24" s="8"/>
    </row>
    <row r="25" spans="1:32" ht="12.75">
      <c r="A25" s="63"/>
      <c r="B25" s="64"/>
      <c r="C25" s="62" t="s">
        <v>12</v>
      </c>
      <c r="D25" s="62"/>
      <c r="E25" s="61"/>
      <c r="F25" s="74" t="s">
        <v>65</v>
      </c>
      <c r="G25" s="111">
        <v>1982</v>
      </c>
      <c r="H25" s="112">
        <v>125000</v>
      </c>
      <c r="I25" s="113">
        <v>75</v>
      </c>
      <c r="J25" s="111">
        <f>G25+I25</f>
        <v>2057</v>
      </c>
      <c r="K25" s="113">
        <v>7</v>
      </c>
      <c r="L25" s="114">
        <v>0</v>
      </c>
      <c r="M25" s="113">
        <v>2</v>
      </c>
      <c r="N25" s="113">
        <v>10</v>
      </c>
      <c r="O25" s="113">
        <f t="shared" si="22"/>
        <v>20</v>
      </c>
      <c r="P25" s="113">
        <v>6</v>
      </c>
      <c r="Q25" s="112"/>
      <c r="R25" s="111">
        <f>(IF(J25="","",J25))</f>
        <v>2057</v>
      </c>
      <c r="S25" s="115">
        <f t="shared" si="23"/>
        <v>0</v>
      </c>
      <c r="T25" s="97"/>
      <c r="U25" s="89" t="s">
        <v>74</v>
      </c>
      <c r="V25" s="89">
        <f aca="true" t="shared" si="25" ref="V25:AE25">IF(V$2=$R27,$S27,"")</f>
      </c>
      <c r="W25" s="89">
        <f t="shared" si="25"/>
      </c>
      <c r="X25" s="89">
        <f t="shared" si="25"/>
      </c>
      <c r="Y25" s="89">
        <f t="shared" si="25"/>
      </c>
      <c r="Z25" s="89">
        <f t="shared" si="25"/>
      </c>
      <c r="AA25" s="89">
        <f t="shared" si="25"/>
      </c>
      <c r="AB25" s="89">
        <f t="shared" si="25"/>
      </c>
      <c r="AC25" s="89">
        <f t="shared" si="25"/>
      </c>
      <c r="AD25" s="89">
        <f t="shared" si="25"/>
      </c>
      <c r="AE25" s="89">
        <f t="shared" si="25"/>
      </c>
      <c r="AF25" s="8"/>
    </row>
    <row r="26" spans="1:32" ht="12.75">
      <c r="A26" s="57"/>
      <c r="B26" s="44"/>
      <c r="C26" s="44" t="s">
        <v>32</v>
      </c>
      <c r="D26" s="57"/>
      <c r="E26" s="57"/>
      <c r="F26" s="58" t="s">
        <v>66</v>
      </c>
      <c r="G26" s="49">
        <v>1940</v>
      </c>
      <c r="H26" s="48">
        <v>100000</v>
      </c>
      <c r="I26" s="46">
        <v>75</v>
      </c>
      <c r="J26" s="49">
        <f aca="true" t="shared" si="26" ref="J26:J31">G26+I26</f>
        <v>2015</v>
      </c>
      <c r="K26" s="46">
        <v>6</v>
      </c>
      <c r="L26" s="47">
        <v>0.5</v>
      </c>
      <c r="M26" s="46">
        <f aca="true" t="shared" si="27" ref="M26:M31">10-K26</f>
        <v>4</v>
      </c>
      <c r="N26" s="46">
        <v>10</v>
      </c>
      <c r="O26" s="46">
        <f t="shared" si="22"/>
        <v>20</v>
      </c>
      <c r="P26" s="46">
        <v>6</v>
      </c>
      <c r="Q26" s="48">
        <v>30000</v>
      </c>
      <c r="R26" s="49">
        <v>2018</v>
      </c>
      <c r="S26" s="50">
        <f t="shared" si="23"/>
        <v>38402.53632589071</v>
      </c>
      <c r="T26" s="97"/>
      <c r="U26" s="89" t="s">
        <v>74</v>
      </c>
      <c r="V26" s="89">
        <f aca="true" t="shared" si="28" ref="V26:AE26">IF(V$2=$R28,$S28,"")</f>
      </c>
      <c r="W26" s="89">
        <f t="shared" si="28"/>
      </c>
      <c r="X26" s="89">
        <f t="shared" si="28"/>
      </c>
      <c r="Y26" s="89">
        <f t="shared" si="28"/>
      </c>
      <c r="Z26" s="89">
        <f t="shared" si="28"/>
      </c>
      <c r="AA26" s="89">
        <f t="shared" si="28"/>
      </c>
      <c r="AB26" s="89">
        <f t="shared" si="28"/>
      </c>
      <c r="AC26" s="89">
        <f t="shared" si="28"/>
      </c>
      <c r="AD26" s="89">
        <f t="shared" si="28"/>
      </c>
      <c r="AE26" s="89">
        <f t="shared" si="28"/>
      </c>
      <c r="AF26" s="8"/>
    </row>
    <row r="27" spans="1:32" ht="12.75">
      <c r="A27" s="59"/>
      <c r="B27" s="44"/>
      <c r="C27" s="44" t="s">
        <v>33</v>
      </c>
      <c r="D27" s="44"/>
      <c r="E27" s="44"/>
      <c r="F27" s="45" t="s">
        <v>67</v>
      </c>
      <c r="G27" s="49">
        <v>1982</v>
      </c>
      <c r="H27" s="48">
        <v>500000</v>
      </c>
      <c r="I27" s="46">
        <v>75</v>
      </c>
      <c r="J27" s="49">
        <f t="shared" si="26"/>
        <v>2057</v>
      </c>
      <c r="K27" s="46">
        <v>8</v>
      </c>
      <c r="L27" s="47">
        <v>0.5</v>
      </c>
      <c r="M27" s="46">
        <f t="shared" si="27"/>
        <v>2</v>
      </c>
      <c r="N27" s="46">
        <v>10</v>
      </c>
      <c r="O27" s="46">
        <f t="shared" si="22"/>
        <v>10</v>
      </c>
      <c r="P27" s="46">
        <v>3</v>
      </c>
      <c r="Q27" s="48"/>
      <c r="R27" s="49">
        <v>2060</v>
      </c>
      <c r="S27" s="50">
        <f t="shared" si="23"/>
        <v>0</v>
      </c>
      <c r="T27" s="97"/>
      <c r="U27" s="89" t="s">
        <v>74</v>
      </c>
      <c r="V27" s="89">
        <f aca="true" t="shared" si="29" ref="V27:AE27">IF(V$2=$R29,$S29,"")</f>
      </c>
      <c r="W27" s="89">
        <f t="shared" si="29"/>
      </c>
      <c r="X27" s="89">
        <f t="shared" si="29"/>
        <v>64004.22720981785</v>
      </c>
      <c r="Y27" s="89">
        <f t="shared" si="29"/>
      </c>
      <c r="Z27" s="89">
        <f t="shared" si="29"/>
      </c>
      <c r="AA27" s="89">
        <f t="shared" si="29"/>
      </c>
      <c r="AB27" s="89">
        <f t="shared" si="29"/>
      </c>
      <c r="AC27" s="89">
        <f t="shared" si="29"/>
      </c>
      <c r="AD27" s="89">
        <f t="shared" si="29"/>
      </c>
      <c r="AE27" s="89">
        <f t="shared" si="29"/>
      </c>
      <c r="AF27" s="8"/>
    </row>
    <row r="28" spans="1:32" ht="12.75">
      <c r="A28" s="59"/>
      <c r="B28" s="44"/>
      <c r="C28" s="168" t="s">
        <v>13</v>
      </c>
      <c r="D28" s="168"/>
      <c r="E28" s="168"/>
      <c r="F28" s="45" t="s">
        <v>68</v>
      </c>
      <c r="G28" s="49">
        <v>1982</v>
      </c>
      <c r="H28" s="48">
        <v>285000</v>
      </c>
      <c r="I28" s="46">
        <v>75</v>
      </c>
      <c r="J28" s="49">
        <f t="shared" si="26"/>
        <v>2057</v>
      </c>
      <c r="K28" s="46">
        <v>8</v>
      </c>
      <c r="L28" s="47">
        <v>0.5</v>
      </c>
      <c r="M28" s="46">
        <f t="shared" si="27"/>
        <v>2</v>
      </c>
      <c r="N28" s="46">
        <v>10</v>
      </c>
      <c r="O28" s="46">
        <f t="shared" si="22"/>
        <v>10</v>
      </c>
      <c r="P28" s="46">
        <v>3</v>
      </c>
      <c r="Q28" s="48"/>
      <c r="R28" s="49">
        <v>2060</v>
      </c>
      <c r="S28" s="50">
        <f t="shared" si="23"/>
        <v>0</v>
      </c>
      <c r="T28" s="97"/>
      <c r="U28" s="89" t="s">
        <v>74</v>
      </c>
      <c r="V28" s="89">
        <f aca="true" t="shared" si="30" ref="V28:AE28">IF(V$2=$R30,$S30,"")</f>
      </c>
      <c r="W28" s="89">
        <f t="shared" si="30"/>
      </c>
      <c r="X28" s="89">
        <f t="shared" si="30"/>
      </c>
      <c r="Y28" s="89">
        <f t="shared" si="30"/>
      </c>
      <c r="Z28" s="89">
        <f t="shared" si="30"/>
      </c>
      <c r="AA28" s="89">
        <f t="shared" si="30"/>
      </c>
      <c r="AB28" s="89">
        <f t="shared" si="30"/>
      </c>
      <c r="AC28" s="89">
        <f t="shared" si="30"/>
      </c>
      <c r="AD28" s="89">
        <f t="shared" si="30"/>
      </c>
      <c r="AE28" s="89">
        <f t="shared" si="30"/>
      </c>
      <c r="AF28" s="8"/>
    </row>
    <row r="29" spans="1:32" ht="12.75">
      <c r="A29" s="59"/>
      <c r="B29" s="44"/>
      <c r="C29" s="44" t="s">
        <v>34</v>
      </c>
      <c r="D29" s="44"/>
      <c r="E29" s="44"/>
      <c r="F29" s="45" t="s">
        <v>69</v>
      </c>
      <c r="G29" s="49">
        <v>1940</v>
      </c>
      <c r="H29" s="48">
        <v>150000</v>
      </c>
      <c r="I29" s="46">
        <v>75</v>
      </c>
      <c r="J29" s="49">
        <f t="shared" si="26"/>
        <v>2015</v>
      </c>
      <c r="K29" s="46">
        <v>6</v>
      </c>
      <c r="L29" s="47">
        <v>0.5</v>
      </c>
      <c r="M29" s="46">
        <f t="shared" si="27"/>
        <v>4</v>
      </c>
      <c r="N29" s="46">
        <v>10</v>
      </c>
      <c r="O29" s="46">
        <f t="shared" si="22"/>
        <v>20</v>
      </c>
      <c r="P29" s="46">
        <v>6</v>
      </c>
      <c r="Q29" s="48">
        <v>50000</v>
      </c>
      <c r="R29" s="49">
        <v>2018</v>
      </c>
      <c r="S29" s="50">
        <f t="shared" si="23"/>
        <v>64004.22720981785</v>
      </c>
      <c r="T29" s="97"/>
      <c r="U29" s="89" t="s">
        <v>74</v>
      </c>
      <c r="V29" s="89">
        <f aca="true" t="shared" si="31" ref="V29:AE29">IF(V$2=$R31,$S31,"")</f>
      </c>
      <c r="W29" s="89">
        <f t="shared" si="31"/>
      </c>
      <c r="X29" s="89">
        <f t="shared" si="31"/>
      </c>
      <c r="Y29" s="89">
        <f t="shared" si="31"/>
      </c>
      <c r="Z29" s="89">
        <f t="shared" si="31"/>
      </c>
      <c r="AA29" s="89">
        <f t="shared" si="31"/>
      </c>
      <c r="AB29" s="89">
        <f t="shared" si="31"/>
      </c>
      <c r="AC29" s="89">
        <f t="shared" si="31"/>
      </c>
      <c r="AD29" s="89">
        <f t="shared" si="31"/>
      </c>
      <c r="AE29" s="89">
        <f t="shared" si="31"/>
      </c>
      <c r="AF29" s="8"/>
    </row>
    <row r="30" spans="1:32" ht="12.75">
      <c r="A30" s="59"/>
      <c r="B30" s="44"/>
      <c r="C30" s="168" t="s">
        <v>48</v>
      </c>
      <c r="D30" s="168"/>
      <c r="E30" s="168"/>
      <c r="F30" s="45" t="s">
        <v>70</v>
      </c>
      <c r="G30" s="49">
        <v>1948</v>
      </c>
      <c r="H30" s="48">
        <v>165000</v>
      </c>
      <c r="I30" s="46">
        <v>75</v>
      </c>
      <c r="J30" s="49">
        <f t="shared" si="26"/>
        <v>2023</v>
      </c>
      <c r="K30" s="46">
        <v>6</v>
      </c>
      <c r="L30" s="47">
        <v>0.5</v>
      </c>
      <c r="M30" s="46">
        <f t="shared" si="27"/>
        <v>4</v>
      </c>
      <c r="N30" s="46">
        <v>10</v>
      </c>
      <c r="O30" s="46">
        <f t="shared" si="22"/>
        <v>20</v>
      </c>
      <c r="P30" s="46">
        <v>6</v>
      </c>
      <c r="Q30" s="48">
        <v>60000</v>
      </c>
      <c r="R30" s="49">
        <v>2060</v>
      </c>
      <c r="S30" s="50">
        <f t="shared" si="23"/>
        <v>216666.74091831208</v>
      </c>
      <c r="T30" s="97"/>
      <c r="U30" s="89"/>
      <c r="V30" s="89"/>
      <c r="W30" s="89"/>
      <c r="X30" s="89"/>
      <c r="Y30" s="89"/>
      <c r="Z30" s="89"/>
      <c r="AA30" s="89"/>
      <c r="AB30" s="89"/>
      <c r="AC30" s="89"/>
      <c r="AD30" s="89"/>
      <c r="AE30" s="89"/>
      <c r="AF30" s="8"/>
    </row>
    <row r="31" spans="1:32" ht="13.5" thickBot="1">
      <c r="A31" s="102"/>
      <c r="B31" s="103"/>
      <c r="C31" s="103" t="s">
        <v>37</v>
      </c>
      <c r="D31" s="103"/>
      <c r="E31" s="103"/>
      <c r="F31" s="45" t="s">
        <v>71</v>
      </c>
      <c r="G31" s="49">
        <v>1982</v>
      </c>
      <c r="H31" s="48">
        <v>100000</v>
      </c>
      <c r="I31" s="46">
        <v>75</v>
      </c>
      <c r="J31" s="49">
        <f t="shared" si="26"/>
        <v>2057</v>
      </c>
      <c r="K31" s="46">
        <v>8</v>
      </c>
      <c r="L31" s="47">
        <v>0</v>
      </c>
      <c r="M31" s="46">
        <f t="shared" si="27"/>
        <v>2</v>
      </c>
      <c r="N31" s="46">
        <v>10</v>
      </c>
      <c r="O31" s="46">
        <f t="shared" si="22"/>
        <v>20</v>
      </c>
      <c r="P31" s="46">
        <v>3</v>
      </c>
      <c r="Q31" s="48"/>
      <c r="R31" s="49">
        <v>2060</v>
      </c>
      <c r="S31" s="50">
        <f t="shared" si="23"/>
        <v>0</v>
      </c>
      <c r="T31" s="97"/>
      <c r="U31" s="89"/>
      <c r="V31" s="89"/>
      <c r="W31" s="89"/>
      <c r="X31" s="89"/>
      <c r="Y31" s="89"/>
      <c r="Z31" s="89"/>
      <c r="AA31" s="89"/>
      <c r="AB31" s="89"/>
      <c r="AC31" s="89"/>
      <c r="AD31" s="89"/>
      <c r="AE31" s="89"/>
      <c r="AF31" s="8"/>
    </row>
    <row r="32" spans="1:32" ht="13.5" thickBot="1">
      <c r="A32" s="109"/>
      <c r="B32" s="110"/>
      <c r="C32" s="110"/>
      <c r="D32" s="110"/>
      <c r="E32" s="110" t="s">
        <v>84</v>
      </c>
      <c r="F32" s="117"/>
      <c r="G32" s="118"/>
      <c r="H32" s="119">
        <f>SUM(H7:H31)</f>
        <v>1914735</v>
      </c>
      <c r="I32" s="116"/>
      <c r="J32" s="118"/>
      <c r="K32" s="116"/>
      <c r="L32" s="120"/>
      <c r="M32" s="116"/>
      <c r="N32" s="116"/>
      <c r="O32" s="116"/>
      <c r="P32" s="116"/>
      <c r="Q32" s="119">
        <f>SUM(Q9:Q31)</f>
        <v>1503500</v>
      </c>
      <c r="R32" s="119"/>
      <c r="S32" s="121">
        <f>SUM(S9:S31)</f>
        <v>3633627.1820942266</v>
      </c>
      <c r="T32" s="97"/>
      <c r="U32" s="90">
        <v>0</v>
      </c>
      <c r="V32" s="90">
        <f aca="true" t="shared" si="32" ref="V32:AE32">SUM(V5:V29)</f>
        <v>350000</v>
      </c>
      <c r="W32" s="126">
        <f t="shared" si="32"/>
        <v>0</v>
      </c>
      <c r="X32" s="90">
        <f t="shared" si="32"/>
        <v>102406.76353570857</v>
      </c>
      <c r="Y32" s="90">
        <f t="shared" si="32"/>
        <v>0</v>
      </c>
      <c r="Z32" s="90">
        <f t="shared" si="32"/>
        <v>60183.77488502181</v>
      </c>
      <c r="AA32" s="90">
        <f t="shared" si="32"/>
        <v>155496.04585935693</v>
      </c>
      <c r="AB32" s="90">
        <f t="shared" si="32"/>
        <v>138824.6779106725</v>
      </c>
      <c r="AC32" s="90">
        <f t="shared" si="32"/>
        <v>158588.6492315431</v>
      </c>
      <c r="AD32" s="90">
        <f t="shared" si="32"/>
        <v>3340.137646486267</v>
      </c>
      <c r="AE32" s="91">
        <f t="shared" si="32"/>
        <v>0</v>
      </c>
      <c r="AF32" s="8"/>
    </row>
    <row r="33" spans="1:32" ht="12.75">
      <c r="A33" s="104"/>
      <c r="B33" s="104"/>
      <c r="C33" s="104"/>
      <c r="D33" s="104"/>
      <c r="E33" s="104"/>
      <c r="F33" s="104"/>
      <c r="G33" s="105"/>
      <c r="H33" s="106"/>
      <c r="I33" s="104"/>
      <c r="J33" s="104"/>
      <c r="K33" s="104"/>
      <c r="L33" s="107"/>
      <c r="M33" s="104"/>
      <c r="N33" s="104"/>
      <c r="O33" s="104"/>
      <c r="P33" s="104"/>
      <c r="Q33" s="106"/>
      <c r="R33" s="105"/>
      <c r="S33" s="108"/>
      <c r="T33" s="155" t="s">
        <v>15</v>
      </c>
      <c r="U33" s="156">
        <v>2015</v>
      </c>
      <c r="V33" s="156">
        <f aca="true" t="shared" si="33" ref="V33:AE33">V2</f>
        <v>2016</v>
      </c>
      <c r="W33" s="156">
        <f t="shared" si="33"/>
        <v>2017</v>
      </c>
      <c r="X33" s="156">
        <f t="shared" si="33"/>
        <v>2018</v>
      </c>
      <c r="Y33" s="156">
        <f t="shared" si="33"/>
        <v>2019</v>
      </c>
      <c r="Z33" s="156">
        <f t="shared" si="33"/>
        <v>2020</v>
      </c>
      <c r="AA33" s="156">
        <f t="shared" si="33"/>
        <v>2021</v>
      </c>
      <c r="AB33" s="156">
        <f t="shared" si="33"/>
        <v>2022</v>
      </c>
      <c r="AC33" s="156">
        <f t="shared" si="33"/>
        <v>2023</v>
      </c>
      <c r="AD33" s="156">
        <f t="shared" si="33"/>
        <v>2024</v>
      </c>
      <c r="AE33" s="157">
        <f t="shared" si="33"/>
        <v>2025</v>
      </c>
      <c r="AF33" s="8"/>
    </row>
    <row r="34" spans="1:32" ht="12.75">
      <c r="A34" s="13"/>
      <c r="B34" s="13"/>
      <c r="C34" s="13"/>
      <c r="D34" s="13"/>
      <c r="E34" s="13"/>
      <c r="F34" s="13"/>
      <c r="G34" s="22"/>
      <c r="H34" s="23"/>
      <c r="I34" s="13"/>
      <c r="J34" s="13"/>
      <c r="K34" s="12"/>
      <c r="L34" s="12"/>
      <c r="M34" s="13"/>
      <c r="N34" s="12"/>
      <c r="O34" s="12"/>
      <c r="P34" s="13"/>
      <c r="R34" s="13"/>
      <c r="S34" s="21"/>
      <c r="T34" s="148" t="s">
        <v>29</v>
      </c>
      <c r="U34" s="92">
        <v>0</v>
      </c>
      <c r="V34" s="92">
        <f aca="true" t="shared" si="34" ref="V34:AE34">V32</f>
        <v>350000</v>
      </c>
      <c r="W34" s="92">
        <f t="shared" si="34"/>
        <v>0</v>
      </c>
      <c r="X34" s="92">
        <f t="shared" si="34"/>
        <v>102406.76353570857</v>
      </c>
      <c r="Y34" s="92">
        <f t="shared" si="34"/>
        <v>0</v>
      </c>
      <c r="Z34" s="92">
        <f t="shared" si="34"/>
        <v>60183.77488502181</v>
      </c>
      <c r="AA34" s="92">
        <f t="shared" si="34"/>
        <v>155496.04585935693</v>
      </c>
      <c r="AB34" s="92">
        <f t="shared" si="34"/>
        <v>138824.6779106725</v>
      </c>
      <c r="AC34" s="92">
        <f t="shared" si="34"/>
        <v>158588.6492315431</v>
      </c>
      <c r="AD34" s="92">
        <f t="shared" si="34"/>
        <v>3340.137646486267</v>
      </c>
      <c r="AE34" s="140">
        <f t="shared" si="34"/>
        <v>0</v>
      </c>
      <c r="AF34" s="8"/>
    </row>
    <row r="35" spans="1:32" ht="12.75">
      <c r="A35" s="14"/>
      <c r="B35" s="27" t="s">
        <v>60</v>
      </c>
      <c r="C35" s="14"/>
      <c r="D35" s="14"/>
      <c r="E35" s="14"/>
      <c r="F35" s="14"/>
      <c r="G35" s="19"/>
      <c r="H35" s="20"/>
      <c r="I35" s="14"/>
      <c r="J35" s="25" t="s">
        <v>56</v>
      </c>
      <c r="K35" s="14"/>
      <c r="L35" s="14"/>
      <c r="M35" s="14"/>
      <c r="N35" s="19"/>
      <c r="O35" s="20"/>
      <c r="P35" s="14"/>
      <c r="Q35" s="14"/>
      <c r="R35" s="4"/>
      <c r="S35" s="8"/>
      <c r="T35" s="148" t="s">
        <v>19</v>
      </c>
      <c r="U35" s="93">
        <v>796419.454957702</v>
      </c>
      <c r="V35" s="93">
        <f>U35*(1+V47)</f>
        <v>816329.9413316444</v>
      </c>
      <c r="W35" s="93">
        <f aca="true" t="shared" si="35" ref="W35:AE35">V35*(1+W47)</f>
        <v>836738.1898649355</v>
      </c>
      <c r="X35" s="93">
        <f t="shared" si="35"/>
        <v>857656.6446115588</v>
      </c>
      <c r="Y35" s="93">
        <f t="shared" si="35"/>
        <v>879098.0607268476</v>
      </c>
      <c r="Z35" s="93">
        <f t="shared" si="35"/>
        <v>901075.5122450187</v>
      </c>
      <c r="AA35" s="93">
        <f t="shared" si="35"/>
        <v>923602.4000511441</v>
      </c>
      <c r="AB35" s="93">
        <f t="shared" si="35"/>
        <v>946692.4600524226</v>
      </c>
      <c r="AC35" s="93">
        <f t="shared" si="35"/>
        <v>970359.771553733</v>
      </c>
      <c r="AD35" s="93">
        <f t="shared" si="35"/>
        <v>994618.7658425763</v>
      </c>
      <c r="AE35" s="141">
        <f t="shared" si="35"/>
        <v>1019484.2349886406</v>
      </c>
      <c r="AF35" s="8"/>
    </row>
    <row r="36" spans="1:32" ht="12.75">
      <c r="A36" s="14"/>
      <c r="B36" s="14" t="s">
        <v>50</v>
      </c>
      <c r="C36" s="14"/>
      <c r="D36" s="14"/>
      <c r="E36" s="14"/>
      <c r="F36" s="14"/>
      <c r="G36" s="19"/>
      <c r="H36" s="20"/>
      <c r="I36" s="14"/>
      <c r="J36" s="14"/>
      <c r="K36" s="14"/>
      <c r="L36" s="14"/>
      <c r="M36" s="14"/>
      <c r="N36" s="19"/>
      <c r="O36" s="20"/>
      <c r="P36" s="14"/>
      <c r="Q36" s="14"/>
      <c r="R36" s="4"/>
      <c r="S36" s="8"/>
      <c r="T36" s="148" t="s">
        <v>20</v>
      </c>
      <c r="U36" s="92">
        <v>796419.454957702</v>
      </c>
      <c r="V36" s="92">
        <f aca="true" t="shared" si="36" ref="V36:AE36">V34+V35</f>
        <v>1166329.9413316445</v>
      </c>
      <c r="W36" s="92">
        <f t="shared" si="36"/>
        <v>836738.1898649355</v>
      </c>
      <c r="X36" s="92">
        <f t="shared" si="36"/>
        <v>960063.4081472673</v>
      </c>
      <c r="Y36" s="92">
        <f t="shared" si="36"/>
        <v>879098.0607268476</v>
      </c>
      <c r="Z36" s="92">
        <f t="shared" si="36"/>
        <v>961259.2871300406</v>
      </c>
      <c r="AA36" s="92">
        <f t="shared" si="36"/>
        <v>1079098.445910501</v>
      </c>
      <c r="AB36" s="92">
        <f t="shared" si="36"/>
        <v>1085517.1379630952</v>
      </c>
      <c r="AC36" s="92">
        <f t="shared" si="36"/>
        <v>1128948.4207852762</v>
      </c>
      <c r="AD36" s="92">
        <f t="shared" si="36"/>
        <v>997958.9034890626</v>
      </c>
      <c r="AE36" s="140">
        <f t="shared" si="36"/>
        <v>1019484.2349886406</v>
      </c>
      <c r="AF36" s="8"/>
    </row>
    <row r="37" spans="1:32" ht="12.75">
      <c r="A37" s="14"/>
      <c r="B37" s="14" t="s">
        <v>52</v>
      </c>
      <c r="C37" s="14"/>
      <c r="D37" s="14"/>
      <c r="E37" s="14"/>
      <c r="F37" s="14"/>
      <c r="G37" s="19"/>
      <c r="H37" s="20"/>
      <c r="I37" s="14"/>
      <c r="J37" s="26" t="s">
        <v>57</v>
      </c>
      <c r="K37" s="14"/>
      <c r="L37" s="14"/>
      <c r="M37" s="14"/>
      <c r="N37" s="19"/>
      <c r="O37" s="20"/>
      <c r="P37" s="14"/>
      <c r="Q37" s="14"/>
      <c r="R37" s="4"/>
      <c r="S37" s="15"/>
      <c r="T37" s="148" t="s">
        <v>30</v>
      </c>
      <c r="U37" s="92">
        <v>772200</v>
      </c>
      <c r="V37" s="92">
        <f aca="true" t="shared" si="37" ref="V37:AE37">V44*V42</f>
        <v>784700</v>
      </c>
      <c r="W37" s="92">
        <f t="shared" si="37"/>
        <v>797300</v>
      </c>
      <c r="X37" s="92">
        <f>X44*X42</f>
        <v>810000</v>
      </c>
      <c r="Y37" s="92">
        <f t="shared" si="37"/>
        <v>822800</v>
      </c>
      <c r="Z37" s="92">
        <f t="shared" si="37"/>
        <v>835700</v>
      </c>
      <c r="AA37" s="92">
        <f t="shared" si="37"/>
        <v>848700</v>
      </c>
      <c r="AB37" s="92">
        <f t="shared" si="37"/>
        <v>861800</v>
      </c>
      <c r="AC37" s="92">
        <f t="shared" si="37"/>
        <v>875000</v>
      </c>
      <c r="AD37" s="92">
        <f t="shared" si="37"/>
        <v>888300</v>
      </c>
      <c r="AE37" s="140">
        <f t="shared" si="37"/>
        <v>901700</v>
      </c>
      <c r="AF37" s="8"/>
    </row>
    <row r="38" spans="1:32" ht="12.75">
      <c r="A38" s="14"/>
      <c r="B38" s="14" t="s">
        <v>51</v>
      </c>
      <c r="C38" s="14"/>
      <c r="D38" s="14"/>
      <c r="E38" s="14"/>
      <c r="F38" s="14"/>
      <c r="G38" s="19"/>
      <c r="H38" s="20"/>
      <c r="I38" s="14"/>
      <c r="J38" s="14" t="s">
        <v>59</v>
      </c>
      <c r="K38" s="14"/>
      <c r="L38" s="14"/>
      <c r="M38" s="14"/>
      <c r="N38" s="19"/>
      <c r="O38" s="20"/>
      <c r="P38" s="14"/>
      <c r="Q38" s="14"/>
      <c r="R38" s="4"/>
      <c r="S38" s="15"/>
      <c r="T38" s="148" t="s">
        <v>28</v>
      </c>
      <c r="U38" s="92">
        <v>24219.4549577019</v>
      </c>
      <c r="V38" s="92">
        <f>(V36-V37)+(U38*V48)</f>
        <v>382840.91407952964</v>
      </c>
      <c r="W38" s="92">
        <f aca="true" t="shared" si="38" ref="W38:AE38">(W36-W37)+(V38*W48)</f>
        <v>58580.23556891196</v>
      </c>
      <c r="X38" s="92">
        <f t="shared" si="38"/>
        <v>152992.4199257129</v>
      </c>
      <c r="Y38" s="92">
        <f t="shared" si="38"/>
        <v>63947.68172313326</v>
      </c>
      <c r="Z38" s="92">
        <f t="shared" si="38"/>
        <v>128756.67121619724</v>
      </c>
      <c r="AA38" s="92">
        <f t="shared" si="38"/>
        <v>236836.27947131093</v>
      </c>
      <c r="AB38" s="92">
        <f t="shared" si="38"/>
        <v>235558.95193666077</v>
      </c>
      <c r="AC38" s="92">
        <f t="shared" si="38"/>
        <v>265726.3683821093</v>
      </c>
      <c r="AD38" s="92">
        <f t="shared" si="38"/>
        <v>122945.22190816802</v>
      </c>
      <c r="AE38" s="140">
        <f t="shared" si="38"/>
        <v>123931.49608404905</v>
      </c>
      <c r="AF38" s="8"/>
    </row>
    <row r="39" spans="1:32" ht="12.75">
      <c r="A39" s="14"/>
      <c r="B39" s="14" t="s">
        <v>53</v>
      </c>
      <c r="C39" s="14"/>
      <c r="D39" s="14"/>
      <c r="E39" s="14"/>
      <c r="F39" s="14"/>
      <c r="G39" s="19"/>
      <c r="H39" s="20"/>
      <c r="I39" s="14"/>
      <c r="J39" s="14" t="s">
        <v>58</v>
      </c>
      <c r="K39" s="14"/>
      <c r="L39" s="14"/>
      <c r="M39" s="14"/>
      <c r="N39" s="19"/>
      <c r="O39" s="20"/>
      <c r="P39" s="14"/>
      <c r="Q39" s="14"/>
      <c r="R39" s="4"/>
      <c r="S39" s="8"/>
      <c r="T39" s="148" t="s">
        <v>21</v>
      </c>
      <c r="U39" s="92">
        <v>1943.4317261544209</v>
      </c>
      <c r="V39" s="92">
        <f aca="true" t="shared" si="39" ref="V39:AE39">V38*((0.05*(1.05^20))/((1.05^20)-1))</f>
        <v>30720.14542819062</v>
      </c>
      <c r="W39" s="92">
        <f t="shared" si="39"/>
        <v>4700.629660289655</v>
      </c>
      <c r="X39" s="92">
        <f t="shared" si="39"/>
        <v>12276.507595403877</v>
      </c>
      <c r="Y39" s="92">
        <f t="shared" si="39"/>
        <v>5131.327426311098</v>
      </c>
      <c r="Z39" s="92">
        <f t="shared" si="39"/>
        <v>10331.768416448882</v>
      </c>
      <c r="AA39" s="92">
        <f t="shared" si="39"/>
        <v>19004.355805395604</v>
      </c>
      <c r="AB39" s="92">
        <f t="shared" si="39"/>
        <v>18901.859739325366</v>
      </c>
      <c r="AC39" s="92">
        <f t="shared" si="39"/>
        <v>21322.571283767164</v>
      </c>
      <c r="AD39" s="92">
        <f t="shared" si="39"/>
        <v>9865.442688645064</v>
      </c>
      <c r="AE39" s="140">
        <f t="shared" si="39"/>
        <v>9944.583880197126</v>
      </c>
      <c r="AF39" s="8"/>
    </row>
    <row r="40" spans="1:32" ht="12.75">
      <c r="A40" s="14"/>
      <c r="B40" s="14" t="s">
        <v>54</v>
      </c>
      <c r="C40" s="14"/>
      <c r="D40" s="14"/>
      <c r="E40" s="14"/>
      <c r="F40" s="14"/>
      <c r="G40" s="19"/>
      <c r="H40" s="20"/>
      <c r="I40" s="14"/>
      <c r="J40" s="14"/>
      <c r="K40" s="4"/>
      <c r="L40" s="12"/>
      <c r="M40" s="13"/>
      <c r="N40" s="12"/>
      <c r="O40" s="12"/>
      <c r="P40" s="8"/>
      <c r="Q40" s="13"/>
      <c r="R40" s="8"/>
      <c r="S40" s="8"/>
      <c r="T40" s="148" t="s">
        <v>22</v>
      </c>
      <c r="U40" s="92">
        <v>-563.4475344977784</v>
      </c>
      <c r="V40" s="92">
        <f>U40+U39</f>
        <v>1379.9841916566425</v>
      </c>
      <c r="W40" s="92">
        <f aca="true" t="shared" si="40" ref="W40:AE40">V40+V39</f>
        <v>32100.129619847263</v>
      </c>
      <c r="X40" s="92">
        <f t="shared" si="40"/>
        <v>36800.75928013692</v>
      </c>
      <c r="Y40" s="92">
        <f t="shared" si="40"/>
        <v>49077.266875540794</v>
      </c>
      <c r="Z40" s="92">
        <f t="shared" si="40"/>
        <v>54208.59430185189</v>
      </c>
      <c r="AA40" s="92">
        <f t="shared" si="40"/>
        <v>64540.36271830077</v>
      </c>
      <c r="AB40" s="92">
        <f t="shared" si="40"/>
        <v>83544.71852369637</v>
      </c>
      <c r="AC40" s="92">
        <f t="shared" si="40"/>
        <v>102446.57826302174</v>
      </c>
      <c r="AD40" s="92">
        <f t="shared" si="40"/>
        <v>123769.1495467889</v>
      </c>
      <c r="AE40" s="140">
        <f t="shared" si="40"/>
        <v>133634.59223543396</v>
      </c>
      <c r="AF40" s="8"/>
    </row>
    <row r="41" spans="1:32" ht="12.75" customHeight="1">
      <c r="A41" s="14"/>
      <c r="B41" s="14" t="s">
        <v>55</v>
      </c>
      <c r="C41" s="14"/>
      <c r="D41" s="14"/>
      <c r="E41" s="14"/>
      <c r="F41" s="14"/>
      <c r="G41" s="19"/>
      <c r="H41" s="20"/>
      <c r="I41" s="14"/>
      <c r="J41" s="14"/>
      <c r="K41" s="4"/>
      <c r="L41" s="12"/>
      <c r="M41" s="13"/>
      <c r="N41" s="12"/>
      <c r="O41" s="12"/>
      <c r="P41" s="8"/>
      <c r="Q41" s="13"/>
      <c r="R41" s="8"/>
      <c r="S41" s="8"/>
      <c r="T41" s="148" t="s">
        <v>23</v>
      </c>
      <c r="U41" s="92">
        <v>773579.9841916566</v>
      </c>
      <c r="V41" s="92">
        <f aca="true" t="shared" si="41" ref="V41:AE41">V37+V39+V40</f>
        <v>816800.1296198473</v>
      </c>
      <c r="W41" s="92">
        <f t="shared" si="41"/>
        <v>834100.7592801369</v>
      </c>
      <c r="X41" s="92">
        <f t="shared" si="41"/>
        <v>859077.2668755407</v>
      </c>
      <c r="Y41" s="92">
        <f t="shared" si="41"/>
        <v>877008.5943018519</v>
      </c>
      <c r="Z41" s="92">
        <f t="shared" si="41"/>
        <v>900240.3627183008</v>
      </c>
      <c r="AA41" s="92">
        <f t="shared" si="41"/>
        <v>932244.7185236964</v>
      </c>
      <c r="AB41" s="92">
        <f t="shared" si="41"/>
        <v>964246.5782630218</v>
      </c>
      <c r="AC41" s="92">
        <f t="shared" si="41"/>
        <v>998769.1495467889</v>
      </c>
      <c r="AD41" s="92">
        <f t="shared" si="41"/>
        <v>1021934.592235434</v>
      </c>
      <c r="AE41" s="140">
        <f t="shared" si="41"/>
        <v>1045279.1761156311</v>
      </c>
      <c r="AF41" s="8"/>
    </row>
    <row r="42" spans="1:32" ht="12.75" customHeight="1">
      <c r="A42" s="14"/>
      <c r="B42" s="14"/>
      <c r="C42" s="14"/>
      <c r="D42" s="14"/>
      <c r="E42" s="14"/>
      <c r="F42" s="14"/>
      <c r="G42" s="19"/>
      <c r="H42" s="20"/>
      <c r="I42" s="14"/>
      <c r="J42" s="14"/>
      <c r="K42" s="4"/>
      <c r="L42" s="12"/>
      <c r="M42" s="13"/>
      <c r="N42" s="12"/>
      <c r="O42" s="12"/>
      <c r="P42" s="8"/>
      <c r="Q42" s="13"/>
      <c r="R42" s="24"/>
      <c r="S42" s="24"/>
      <c r="T42" s="148" t="s">
        <v>41</v>
      </c>
      <c r="U42" s="94">
        <v>1170</v>
      </c>
      <c r="V42" s="94">
        <f>U42+10</f>
        <v>1180</v>
      </c>
      <c r="W42" s="94">
        <f aca="true" t="shared" si="42" ref="W42:AE42">V42+10</f>
        <v>1190</v>
      </c>
      <c r="X42" s="94">
        <f t="shared" si="42"/>
        <v>1200</v>
      </c>
      <c r="Y42" s="94">
        <f t="shared" si="42"/>
        <v>1210</v>
      </c>
      <c r="Z42" s="94">
        <f t="shared" si="42"/>
        <v>1220</v>
      </c>
      <c r="AA42" s="94">
        <f t="shared" si="42"/>
        <v>1230</v>
      </c>
      <c r="AB42" s="94">
        <f t="shared" si="42"/>
        <v>1240</v>
      </c>
      <c r="AC42" s="94">
        <f t="shared" si="42"/>
        <v>1250</v>
      </c>
      <c r="AD42" s="94">
        <f t="shared" si="42"/>
        <v>1260</v>
      </c>
      <c r="AE42" s="142">
        <f t="shared" si="42"/>
        <v>1270</v>
      </c>
      <c r="AF42" s="8"/>
    </row>
    <row r="43" spans="1:32" ht="12.75" customHeight="1">
      <c r="A43" s="14"/>
      <c r="B43" s="60" t="s">
        <v>73</v>
      </c>
      <c r="C43" s="8"/>
      <c r="D43" s="8"/>
      <c r="E43" s="8"/>
      <c r="F43" s="8"/>
      <c r="G43" s="8"/>
      <c r="H43" s="8"/>
      <c r="I43" s="8"/>
      <c r="J43" s="8"/>
      <c r="K43" s="8"/>
      <c r="L43" s="12"/>
      <c r="M43" s="13"/>
      <c r="N43" s="12"/>
      <c r="O43" s="12"/>
      <c r="P43" s="8"/>
      <c r="Q43" s="13"/>
      <c r="R43" s="24"/>
      <c r="S43" s="24"/>
      <c r="T43" s="148" t="s">
        <v>42</v>
      </c>
      <c r="U43" s="95">
        <v>661.1794736680826</v>
      </c>
      <c r="V43" s="95">
        <f aca="true" t="shared" si="43" ref="V43:AE43">V41/V42</f>
        <v>692.2034996778367</v>
      </c>
      <c r="W43" s="95">
        <f t="shared" si="43"/>
        <v>700.9250077984344</v>
      </c>
      <c r="X43" s="95">
        <f t="shared" si="43"/>
        <v>715.8977223962839</v>
      </c>
      <c r="Y43" s="95">
        <f t="shared" si="43"/>
        <v>724.8004911585554</v>
      </c>
      <c r="Z43" s="95">
        <f t="shared" si="43"/>
        <v>737.9019366543449</v>
      </c>
      <c r="AA43" s="95">
        <f t="shared" si="43"/>
        <v>757.9225353851191</v>
      </c>
      <c r="AB43" s="95">
        <f t="shared" si="43"/>
        <v>777.6182082766304</v>
      </c>
      <c r="AC43" s="95">
        <f t="shared" si="43"/>
        <v>799.0153196374312</v>
      </c>
      <c r="AD43" s="95">
        <f t="shared" si="43"/>
        <v>811.0592001868524</v>
      </c>
      <c r="AE43" s="143">
        <f t="shared" si="43"/>
        <v>823.0544693823867</v>
      </c>
      <c r="AF43" s="8"/>
    </row>
    <row r="44" spans="1:32" ht="12.75" customHeight="1">
      <c r="A44" s="14"/>
      <c r="B44" s="8" t="s">
        <v>109</v>
      </c>
      <c r="C44" s="8"/>
      <c r="D44" s="8"/>
      <c r="E44" s="8"/>
      <c r="F44" s="8"/>
      <c r="G44" s="8"/>
      <c r="H44" s="8"/>
      <c r="I44" s="8"/>
      <c r="J44" s="8"/>
      <c r="K44" s="8"/>
      <c r="L44" s="12"/>
      <c r="M44" s="13"/>
      <c r="N44" s="12"/>
      <c r="O44" s="12"/>
      <c r="P44" s="8"/>
      <c r="Q44" s="13"/>
      <c r="R44" s="8"/>
      <c r="S44" s="8"/>
      <c r="T44" s="148" t="s">
        <v>24</v>
      </c>
      <c r="U44" s="96">
        <v>660</v>
      </c>
      <c r="V44" s="96">
        <f>U44+5</f>
        <v>665</v>
      </c>
      <c r="W44" s="96">
        <f aca="true" t="shared" si="44" ref="W44:AE44">V44+5</f>
        <v>670</v>
      </c>
      <c r="X44" s="96">
        <f t="shared" si="44"/>
        <v>675</v>
      </c>
      <c r="Y44" s="96">
        <f t="shared" si="44"/>
        <v>680</v>
      </c>
      <c r="Z44" s="96">
        <f t="shared" si="44"/>
        <v>685</v>
      </c>
      <c r="AA44" s="96">
        <f t="shared" si="44"/>
        <v>690</v>
      </c>
      <c r="AB44" s="96">
        <f t="shared" si="44"/>
        <v>695</v>
      </c>
      <c r="AC44" s="96">
        <f t="shared" si="44"/>
        <v>700</v>
      </c>
      <c r="AD44" s="96">
        <f t="shared" si="44"/>
        <v>705</v>
      </c>
      <c r="AE44" s="144">
        <f t="shared" si="44"/>
        <v>710</v>
      </c>
      <c r="AF44" s="8"/>
    </row>
    <row r="45" spans="1:32" ht="12.75" customHeight="1">
      <c r="A45" s="14"/>
      <c r="C45" s="8"/>
      <c r="D45" s="8"/>
      <c r="E45" s="8"/>
      <c r="F45" s="8"/>
      <c r="G45" s="8"/>
      <c r="H45" s="8"/>
      <c r="I45" s="8"/>
      <c r="J45" s="8"/>
      <c r="K45" s="8"/>
      <c r="L45" s="12"/>
      <c r="M45" s="13"/>
      <c r="N45" s="12"/>
      <c r="O45" s="12"/>
      <c r="P45" s="8"/>
      <c r="Q45" s="13"/>
      <c r="R45" s="8"/>
      <c r="S45" s="8"/>
      <c r="T45" s="148" t="s">
        <v>25</v>
      </c>
      <c r="U45" s="95">
        <v>-1.1794736680825508</v>
      </c>
      <c r="V45" s="95">
        <f aca="true" t="shared" si="45" ref="V45:AE45">V44-V43</f>
        <v>-27.203499677836703</v>
      </c>
      <c r="W45" s="95">
        <f t="shared" si="45"/>
        <v>-30.92500779843442</v>
      </c>
      <c r="X45" s="95">
        <f t="shared" si="45"/>
        <v>-40.89772239628394</v>
      </c>
      <c r="Y45" s="95">
        <f t="shared" si="45"/>
        <v>-44.80049115855536</v>
      </c>
      <c r="Z45" s="95">
        <f t="shared" si="45"/>
        <v>-52.90193665434492</v>
      </c>
      <c r="AA45" s="95">
        <f t="shared" si="45"/>
        <v>-67.92253538511909</v>
      </c>
      <c r="AB45" s="95">
        <f t="shared" si="45"/>
        <v>-82.61820827663041</v>
      </c>
      <c r="AC45" s="95">
        <f t="shared" si="45"/>
        <v>-99.01531963743116</v>
      </c>
      <c r="AD45" s="95">
        <f t="shared" si="45"/>
        <v>-106.05920018685242</v>
      </c>
      <c r="AE45" s="143">
        <f t="shared" si="45"/>
        <v>-113.05446938238674</v>
      </c>
      <c r="AF45" s="8"/>
    </row>
    <row r="46" spans="1:32" ht="12.75" customHeight="1">
      <c r="A46" s="14"/>
      <c r="B46" s="8"/>
      <c r="C46" s="8"/>
      <c r="D46" s="8"/>
      <c r="E46" s="8"/>
      <c r="F46" s="8"/>
      <c r="G46" s="8"/>
      <c r="H46" s="8"/>
      <c r="I46" s="8"/>
      <c r="J46" s="8"/>
      <c r="K46" s="8"/>
      <c r="L46" s="12"/>
      <c r="M46" s="13"/>
      <c r="N46" s="12"/>
      <c r="O46" s="12"/>
      <c r="P46" s="8"/>
      <c r="Q46" s="13"/>
      <c r="R46" s="8"/>
      <c r="S46" s="8"/>
      <c r="T46" s="148" t="s">
        <v>40</v>
      </c>
      <c r="U46" s="146">
        <v>535000</v>
      </c>
      <c r="V46" s="146">
        <f>U46+5000</f>
        <v>540000</v>
      </c>
      <c r="W46" s="146">
        <f aca="true" t="shared" si="46" ref="W46:AE46">V46+5000</f>
        <v>545000</v>
      </c>
      <c r="X46" s="146">
        <f t="shared" si="46"/>
        <v>550000</v>
      </c>
      <c r="Y46" s="146">
        <f t="shared" si="46"/>
        <v>555000</v>
      </c>
      <c r="Z46" s="146">
        <f t="shared" si="46"/>
        <v>560000</v>
      </c>
      <c r="AA46" s="146">
        <f t="shared" si="46"/>
        <v>565000</v>
      </c>
      <c r="AB46" s="146">
        <f t="shared" si="46"/>
        <v>570000</v>
      </c>
      <c r="AC46" s="146">
        <f t="shared" si="46"/>
        <v>575000</v>
      </c>
      <c r="AD46" s="146">
        <f t="shared" si="46"/>
        <v>580000</v>
      </c>
      <c r="AE46" s="149">
        <f t="shared" si="46"/>
        <v>585000</v>
      </c>
      <c r="AF46" s="8"/>
    </row>
    <row r="47" spans="1:32" ht="12.75">
      <c r="A47" s="14"/>
      <c r="B47" s="8"/>
      <c r="C47" s="8"/>
      <c r="D47" s="8"/>
      <c r="E47" s="8"/>
      <c r="F47" s="8"/>
      <c r="G47" s="8"/>
      <c r="H47" s="8"/>
      <c r="I47" s="8"/>
      <c r="J47" s="8"/>
      <c r="K47" s="8"/>
      <c r="L47" s="12"/>
      <c r="M47" s="4"/>
      <c r="N47" s="12"/>
      <c r="O47" s="12"/>
      <c r="P47" s="8"/>
      <c r="Q47" s="13"/>
      <c r="R47" s="8"/>
      <c r="S47" s="8"/>
      <c r="T47" s="150" t="s">
        <v>113</v>
      </c>
      <c r="U47" s="147">
        <v>0.025</v>
      </c>
      <c r="V47" s="147">
        <v>0.025</v>
      </c>
      <c r="W47" s="147">
        <v>0.025</v>
      </c>
      <c r="X47" s="147">
        <v>0.025</v>
      </c>
      <c r="Y47" s="147">
        <v>0.025</v>
      </c>
      <c r="Z47" s="147">
        <v>0.025</v>
      </c>
      <c r="AA47" s="147">
        <v>0.025</v>
      </c>
      <c r="AB47" s="147">
        <v>0.025</v>
      </c>
      <c r="AC47" s="147">
        <v>0.025</v>
      </c>
      <c r="AD47" s="147">
        <v>0.025</v>
      </c>
      <c r="AE47" s="151">
        <v>0.025</v>
      </c>
      <c r="AF47" s="8"/>
    </row>
    <row r="48" spans="11:33" ht="13.5" thickBot="1">
      <c r="K48" s="4"/>
      <c r="L48" s="14"/>
      <c r="M48" s="14"/>
      <c r="N48" s="14"/>
      <c r="O48" s="14"/>
      <c r="T48" s="152" t="s">
        <v>112</v>
      </c>
      <c r="U48" s="153">
        <v>0.05</v>
      </c>
      <c r="V48" s="153">
        <v>0.05</v>
      </c>
      <c r="W48" s="153">
        <v>0.05</v>
      </c>
      <c r="X48" s="153">
        <v>0.05</v>
      </c>
      <c r="Y48" s="153">
        <v>0.05</v>
      </c>
      <c r="Z48" s="153">
        <v>0.05</v>
      </c>
      <c r="AA48" s="153">
        <v>0.05</v>
      </c>
      <c r="AB48" s="153">
        <v>0.05</v>
      </c>
      <c r="AC48" s="153">
        <v>0.05</v>
      </c>
      <c r="AD48" s="153">
        <v>0.05</v>
      </c>
      <c r="AE48" s="154">
        <v>0.05</v>
      </c>
      <c r="AF48" s="8"/>
      <c r="AG48" s="5"/>
    </row>
    <row r="49" spans="11:78" ht="12.75">
      <c r="K49" s="4"/>
      <c r="L49" s="14"/>
      <c r="M49" s="14"/>
      <c r="N49" s="14"/>
      <c r="O49" s="14"/>
      <c r="AF49" s="8"/>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row>
    <row r="50" spans="11:15" ht="12.75">
      <c r="K50" s="4"/>
      <c r="L50" s="14"/>
      <c r="M50" s="14"/>
      <c r="N50" s="14"/>
      <c r="O50" s="14"/>
    </row>
    <row r="51" spans="11:15" ht="12.75">
      <c r="K51" s="14"/>
      <c r="L51" s="14"/>
      <c r="M51" s="14"/>
      <c r="N51" s="14"/>
      <c r="O51" s="14"/>
    </row>
    <row r="52" spans="11:15" ht="12.75">
      <c r="K52" s="14"/>
      <c r="L52" s="14"/>
      <c r="M52" s="14"/>
      <c r="N52" s="14"/>
      <c r="O52" s="14"/>
    </row>
    <row r="53" spans="11:15" ht="12.75">
      <c r="K53" s="14"/>
      <c r="L53" s="14"/>
      <c r="M53" s="14"/>
      <c r="N53" s="14"/>
      <c r="O53" s="14"/>
    </row>
    <row r="54" spans="11:23" ht="12.75">
      <c r="K54" s="14"/>
      <c r="L54" s="14"/>
      <c r="M54" s="14"/>
      <c r="N54" s="14"/>
      <c r="O54" s="14"/>
      <c r="W54" s="145"/>
    </row>
    <row r="55" spans="11:15" ht="12.75">
      <c r="K55" s="14"/>
      <c r="L55" s="14"/>
      <c r="M55" s="14"/>
      <c r="N55" s="14"/>
      <c r="O55" s="14"/>
    </row>
    <row r="56" spans="11:15" ht="12.75">
      <c r="K56" s="14"/>
      <c r="L56" s="14"/>
      <c r="M56" s="14"/>
      <c r="N56" s="14"/>
      <c r="O56" s="14"/>
    </row>
    <row r="57" spans="11:15" ht="12.75">
      <c r="K57" s="14"/>
      <c r="L57" s="14"/>
      <c r="M57" s="14"/>
      <c r="N57" s="14"/>
      <c r="O57" s="14"/>
    </row>
    <row r="58" spans="11:15" ht="12.75">
      <c r="K58" s="14"/>
      <c r="L58" s="14"/>
      <c r="M58" s="14"/>
      <c r="N58" s="14"/>
      <c r="O58" s="14"/>
    </row>
    <row r="59" spans="11:15" ht="12.75">
      <c r="K59" s="14"/>
      <c r="L59" s="14"/>
      <c r="M59" s="14"/>
      <c r="N59" s="14"/>
      <c r="O59" s="14"/>
    </row>
    <row r="60" spans="11:15" ht="12.75">
      <c r="K60" s="14"/>
      <c r="L60" s="14"/>
      <c r="M60" s="14"/>
      <c r="N60" s="14"/>
      <c r="O60" s="14"/>
    </row>
    <row r="61" spans="11:15" ht="12.75">
      <c r="K61" s="14"/>
      <c r="L61" s="14"/>
      <c r="M61" s="14"/>
      <c r="N61" s="14"/>
      <c r="O61" s="14"/>
    </row>
    <row r="62" spans="11:15" ht="12.75">
      <c r="K62" s="14"/>
      <c r="L62" s="14"/>
      <c r="M62" s="14"/>
      <c r="N62" s="14"/>
      <c r="O62" s="14"/>
    </row>
    <row r="63" spans="11:15" ht="12.75">
      <c r="K63" s="14"/>
      <c r="L63" s="14"/>
      <c r="M63" s="14"/>
      <c r="N63" s="14"/>
      <c r="O63" s="14"/>
    </row>
    <row r="64" spans="11:15" ht="12.75">
      <c r="K64" s="14"/>
      <c r="L64" s="14"/>
      <c r="M64" s="14"/>
      <c r="N64" s="14"/>
      <c r="O64" s="14"/>
    </row>
    <row r="65" spans="11:15" ht="12.75">
      <c r="K65" s="14"/>
      <c r="L65" s="14"/>
      <c r="M65" s="14"/>
      <c r="N65" s="14"/>
      <c r="O65" s="14"/>
    </row>
    <row r="66" spans="11:15" ht="12.75">
      <c r="K66" s="14"/>
      <c r="L66" s="14"/>
      <c r="M66" s="14"/>
      <c r="N66" s="14"/>
      <c r="O66" s="14"/>
    </row>
    <row r="67" spans="11:15" ht="12.75">
      <c r="K67" s="14"/>
      <c r="L67" s="14"/>
      <c r="M67" s="14"/>
      <c r="N67" s="14"/>
      <c r="O67" s="14"/>
    </row>
    <row r="68" spans="11:15" ht="12.75">
      <c r="K68" s="14"/>
      <c r="L68" s="14"/>
      <c r="M68" s="14"/>
      <c r="N68" s="14"/>
      <c r="O68" s="14"/>
    </row>
    <row r="69" spans="11:15" ht="12.75">
      <c r="K69" s="14"/>
      <c r="L69" s="14"/>
      <c r="M69" s="14"/>
      <c r="N69" s="14"/>
      <c r="O69" s="14"/>
    </row>
    <row r="70" spans="11:15" ht="12.75">
      <c r="K70" s="14"/>
      <c r="L70" s="14"/>
      <c r="M70" s="14"/>
      <c r="N70" s="14"/>
      <c r="O70" s="14"/>
    </row>
    <row r="71" spans="11:15" ht="12.75">
      <c r="K71" s="14"/>
      <c r="L71" s="14"/>
      <c r="M71" s="14"/>
      <c r="N71" s="14"/>
      <c r="O71" s="14"/>
    </row>
    <row r="72" spans="11:15" ht="12.75">
      <c r="K72" s="14"/>
      <c r="L72" s="14"/>
      <c r="M72" s="14"/>
      <c r="N72" s="14"/>
      <c r="O72" s="14"/>
    </row>
    <row r="73" spans="11:15" ht="12.75">
      <c r="K73" s="14"/>
      <c r="L73" s="14"/>
      <c r="M73" s="14"/>
      <c r="N73" s="14"/>
      <c r="O73" s="14"/>
    </row>
    <row r="74" spans="11:15" ht="12.75">
      <c r="K74" s="14"/>
      <c r="L74" s="14"/>
      <c r="M74" s="14"/>
      <c r="N74" s="14"/>
      <c r="O74" s="14"/>
    </row>
    <row r="75" spans="11:15" ht="12.75">
      <c r="K75" s="14"/>
      <c r="L75" s="14"/>
      <c r="M75" s="14"/>
      <c r="N75" s="14"/>
      <c r="O75" s="14"/>
    </row>
    <row r="76" spans="11:15" ht="12.75">
      <c r="K76" s="14"/>
      <c r="L76" s="14"/>
      <c r="M76" s="14"/>
      <c r="N76" s="14"/>
      <c r="O76" s="14"/>
    </row>
    <row r="77" spans="11:15" ht="12.75">
      <c r="K77" s="14"/>
      <c r="L77" s="14"/>
      <c r="M77" s="14"/>
      <c r="N77" s="14"/>
      <c r="O77" s="14"/>
    </row>
    <row r="78" spans="11:15" ht="12.75">
      <c r="K78" s="14"/>
      <c r="L78" s="14"/>
      <c r="M78" s="14"/>
      <c r="N78" s="14"/>
      <c r="O78" s="14"/>
    </row>
    <row r="79" spans="11:15" ht="12.75">
      <c r="K79" s="14"/>
      <c r="L79" s="14"/>
      <c r="M79" s="14"/>
      <c r="N79" s="14"/>
      <c r="O79" s="14"/>
    </row>
    <row r="80" spans="11:15" ht="12.75">
      <c r="K80" s="14"/>
      <c r="L80" s="14"/>
      <c r="M80" s="14"/>
      <c r="N80" s="14"/>
      <c r="O80" s="14"/>
    </row>
    <row r="81" spans="11:15" ht="12.75">
      <c r="K81" s="14"/>
      <c r="L81" s="14"/>
      <c r="M81" s="14"/>
      <c r="N81" s="14"/>
      <c r="O81" s="14"/>
    </row>
    <row r="82" spans="11:15" ht="12.75">
      <c r="K82" s="14"/>
      <c r="L82" s="14"/>
      <c r="M82" s="14"/>
      <c r="N82" s="14"/>
      <c r="O82" s="14"/>
    </row>
    <row r="83" spans="11:15" ht="12.75">
      <c r="K83" s="14"/>
      <c r="L83" s="14"/>
      <c r="M83" s="14"/>
      <c r="N83" s="14"/>
      <c r="O83" s="14"/>
    </row>
    <row r="84" spans="11:15" ht="12.75">
      <c r="K84" s="14"/>
      <c r="L84" s="14"/>
      <c r="M84" s="14"/>
      <c r="N84" s="14"/>
      <c r="O84" s="14"/>
    </row>
    <row r="85" spans="11:15" ht="12.75">
      <c r="K85" s="14"/>
      <c r="L85" s="14"/>
      <c r="M85" s="14"/>
      <c r="N85" s="14"/>
      <c r="O85" s="14"/>
    </row>
    <row r="86" spans="11:15" ht="12.75">
      <c r="K86" s="14"/>
      <c r="L86" s="14"/>
      <c r="M86" s="14"/>
      <c r="N86" s="14"/>
      <c r="O86" s="14"/>
    </row>
  </sheetData>
  <sheetProtection formatCells="0" formatColumns="0" formatRows="0" insertColumns="0" insertRows="0" insertHyperlinks="0" deleteColumns="0" deleteRows="0" selectLockedCells="1" sort="0" autoFilter="0" pivotTables="0"/>
  <protectedRanges>
    <protectedRange sqref="A2 C2:F2" name="Range1"/>
  </protectedRanges>
  <mergeCells count="10">
    <mergeCell ref="A1:J1"/>
    <mergeCell ref="A6:E6"/>
    <mergeCell ref="P2:S2"/>
    <mergeCell ref="L2:O2"/>
    <mergeCell ref="C30:E30"/>
    <mergeCell ref="A4:E4"/>
    <mergeCell ref="A3:E3"/>
    <mergeCell ref="A2:I2"/>
    <mergeCell ref="B24:E24"/>
    <mergeCell ref="C28:E28"/>
  </mergeCells>
  <printOptions headings="1"/>
  <pageMargins left="0.25" right="0.25" top="0.25" bottom="0.25" header="0.3" footer="0.3"/>
  <pageSetup fitToWidth="0" horizontalDpi="600" verticalDpi="600" orientation="landscape" paperSize="1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GHD</dc:creator>
  <cp:keywords/>
  <dc:description/>
  <cp:lastModifiedBy>Build-User</cp:lastModifiedBy>
  <cp:lastPrinted>2015-07-14T14:40:59Z</cp:lastPrinted>
  <dcterms:created xsi:type="dcterms:W3CDTF">2003-09-04T17:48:06Z</dcterms:created>
  <dcterms:modified xsi:type="dcterms:W3CDTF">2015-09-01T18:51:38Z</dcterms:modified>
  <cp:category/>
  <cp:version/>
  <cp:contentType/>
  <cp:contentStatus/>
</cp:coreProperties>
</file>