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29" activeTab="0"/>
  </bookViews>
  <sheets>
    <sheet name="Overview" sheetId="1" r:id="rId1"/>
    <sheet name="Summary" sheetId="2" r:id="rId2"/>
    <sheet name="Operations" sheetId="3" r:id="rId3"/>
    <sheet name="Startup Cost" sheetId="4" r:id="rId4"/>
  </sheets>
  <definedNames/>
  <calcPr fullCalcOnLoad="1"/>
</workbook>
</file>

<file path=xl/comments2.xml><?xml version="1.0" encoding="utf-8"?>
<comments xmlns="http://schemas.openxmlformats.org/spreadsheetml/2006/main">
  <authors>
    <author/>
  </authors>
  <commentList>
    <comment ref="A6" authorId="0">
      <text>
        <r>
          <rPr>
            <sz val="10"/>
            <rFont val="Arial"/>
            <family val="2"/>
          </rPr>
          <t>This should include triple-net (NNN) costs if applicable.</t>
        </r>
      </text>
    </comment>
    <comment ref="A10" authorId="0">
      <text>
        <r>
          <rPr>
            <sz val="10"/>
            <rFont val="Arial"/>
            <family val="2"/>
          </rPr>
          <t>The hourly rate is the flat per-hour rate that is charged to most or all of your customers, reguardless of what other options may be available through discounts or specials.  Depending on local demographics and other factors, the hourly rate is generally no lower than $2 and no higher than $5.</t>
        </r>
      </text>
    </comment>
    <comment ref="A13" authorId="0">
      <text>
        <r>
          <rPr>
            <sz val="10"/>
            <rFont val="Arial"/>
            <family val="2"/>
          </rPr>
          <t>Utilization percentage is determined by combining several factors, and is used to determine how  “busy” stores are relative to each other, even if they differ in size.  This number is determined by multiplying the number of hours your store is open (availability) by the number of stations.  Then taking the actual number of hours sold during the same period. The resulting percentage is a good indicator of how busy your store is.  Most stores take about a year (on average) to reach 25% or higher, which is considered the industry average.</t>
        </r>
      </text>
    </comment>
    <comment ref="A14" authorId="0">
      <text>
        <r>
          <rPr>
            <sz val="10"/>
            <rFont val="Arial"/>
            <family val="2"/>
          </rPr>
          <t>On average, most centers attribute approximately 30% of their overall income to sales of snacks and drinks.  Actual figures can vary widely depending on the size and variety of the products offered, and your location's proximity to other readily available sources of snacks, and your store's policy on external food and drink.</t>
        </r>
      </text>
    </comment>
    <comment ref="A25" authorId="0">
      <text>
        <r>
          <rPr>
            <sz val="10"/>
            <rFont val="Arial"/>
            <family val="2"/>
          </rPr>
          <t>We recommend that your startup expenses include 12 months of operational costs to cover unforseen expenses, slow periods, and emergencies.</t>
        </r>
      </text>
    </comment>
    <comment ref="A27" authorId="0">
      <text>
        <r>
          <rPr>
            <sz val="10"/>
            <rFont val="Arial"/>
            <family val="2"/>
          </rPr>
          <t>Based on the given figures, this is the absolute minimum amount of traffic your store will need to generate in order to cover costs on a monthly basis.</t>
        </r>
      </text>
    </comment>
    <comment ref="C34" authorId="0">
      <text>
        <r>
          <rPr>
            <sz val="10"/>
            <rFont val="Arial"/>
            <family val="2"/>
          </rPr>
          <t>Based on the provided figures, this is the total amount of cost incurred that must be paid each month.</t>
        </r>
      </text>
    </comment>
    <comment ref="D34" authorId="0">
      <text>
        <r>
          <rPr>
            <sz val="10"/>
            <rFont val="Arial"/>
            <family val="2"/>
          </rPr>
          <t>Based on the indicated Target Utilization, this is the amount of income you could expect to generate. This figure starts low, as a fraction of the Target, and escalates to the full Target amount.</t>
        </r>
      </text>
    </comment>
    <comment ref="E34" authorId="0">
      <text>
        <r>
          <rPr>
            <sz val="10"/>
            <rFont val="Arial"/>
            <family val="2"/>
          </rPr>
          <t>After everything, this the amount of money you could potentially pocket or reinvest in the store.</t>
        </r>
      </text>
    </comment>
  </commentList>
</comments>
</file>

<file path=xl/comments3.xml><?xml version="1.0" encoding="utf-8"?>
<comments xmlns="http://schemas.openxmlformats.org/spreadsheetml/2006/main">
  <authors>
    <author/>
  </authors>
  <commentList>
    <comment ref="A15" authorId="0">
      <text>
        <r>
          <rPr>
            <sz val="10"/>
            <rFont val="Arial"/>
            <family val="2"/>
          </rPr>
          <t xml:space="preserve">$500 is the approximate cost of a single T1 line, which has become somewhat standard for most Gcs. Depending your area, multiple DSL or Cable lines may be available, and are always cheaper, however they are somewhat less dependable. </t>
        </r>
      </text>
    </comment>
    <comment ref="A18" authorId="0">
      <text>
        <r>
          <rPr>
            <sz val="10"/>
            <rFont val="Arial"/>
            <family val="2"/>
          </rPr>
          <t>This is an average figure to buy new games, some months will see no new games, others may see 4 or 5 big releases.</t>
        </r>
      </text>
    </comment>
    <comment ref="A20" authorId="0">
      <text>
        <r>
          <rPr>
            <sz val="10"/>
            <rFont val="Arial"/>
            <family val="2"/>
          </rPr>
          <t>Valve charges $10 per seat per month. You do not need to purchase a seat for every station you have, only for as many simultaneous users as you have, which can vary greatly.  If you do not intend to offer any games from Valve (STEAM) then change the equation in this field to zero.</t>
        </r>
      </text>
    </comment>
    <comment ref="A21" authorId="0">
      <text>
        <r>
          <rPr>
            <sz val="10"/>
            <rFont val="Arial"/>
            <family val="2"/>
          </rPr>
          <t>This figure takes into account that all PCs in the facility we need to be completely replaced once every 30 months and breaks it down into a monthly cost. This does not include monitors, mice, keyboards, or other periphreials.</t>
        </r>
      </text>
    </comment>
    <comment ref="D23" authorId="0">
      <text>
        <r>
          <rPr>
            <sz val="10"/>
            <rFont val="Arial"/>
            <family val="2"/>
          </rPr>
          <t>Using the PSU wattage and price per Kw/Hr, multiplied by the number of hours the computers are being used, which is determined by multiplying the Utilization Rate by the number of hours the facility is open.</t>
        </r>
      </text>
    </comment>
    <comment ref="D25" authorId="0">
      <text>
        <r>
          <rPr>
            <sz val="10"/>
            <rFont val="Arial"/>
            <family val="2"/>
          </rPr>
          <t>One 5 tonne AC unit per 1000 sqft of facility space, pulls approximately 5.5 Kilowatts.  Average A/C usage is 8 hours per day for 125 days of the year. The average of the 12 month period is used here.</t>
        </r>
      </text>
    </comment>
    <comment ref="H25" authorId="0">
      <text>
        <r>
          <rPr>
            <sz val="10"/>
            <rFont val="Arial"/>
            <family val="2"/>
          </rPr>
          <t>This is the amount of space taken up by a single station, including the desk, chair, and clearance.
30sqft is fairly accurate for both consoles and PCs.  While consoles in a wall-mounted arrangement will have larger screens and a longer view distance, they do not require a desk.</t>
        </r>
      </text>
    </comment>
  </commentList>
</comments>
</file>

<file path=xl/comments4.xml><?xml version="1.0" encoding="utf-8"?>
<comments xmlns="http://schemas.openxmlformats.org/spreadsheetml/2006/main">
  <authors>
    <author/>
  </authors>
  <commentList>
    <comment ref="A21" authorId="0">
      <text>
        <r>
          <rPr>
            <b/>
            <sz val="9"/>
            <color indexed="8"/>
            <rFont val="Times New Roman"/>
            <family val="1"/>
          </rPr>
          <t xml:space="preserve">Please see specification tab for complete PC specifications
</t>
        </r>
      </text>
    </comment>
    <comment ref="A40" authorId="0">
      <text>
        <r>
          <rPr>
            <sz val="10"/>
            <rFont val="Arial"/>
            <family val="2"/>
          </rPr>
          <t>See monthly costs</t>
        </r>
      </text>
    </comment>
  </commentList>
</comments>
</file>

<file path=xl/sharedStrings.xml><?xml version="1.0" encoding="utf-8"?>
<sst xmlns="http://schemas.openxmlformats.org/spreadsheetml/2006/main" count="231" uniqueCount="191">
  <si>
    <t>Game Center Operations Estimation Sheet</t>
  </si>
  <si>
    <t>http://www.ILANCA.org</t>
  </si>
  <si>
    <r>
      <t xml:space="preserve">This spreadsheet is meant to be a guide for new Game Center Owners who are looking to find out what their general costs could be.  This is meant to give </t>
    </r>
    <r>
      <rPr>
        <b/>
        <sz val="10"/>
        <rFont val="Arial"/>
        <family val="2"/>
      </rPr>
      <t>ESTIMATES ONLY</t>
    </r>
    <r>
      <rPr>
        <sz val="10"/>
        <rFont val="Arial"/>
        <family val="2"/>
      </rPr>
      <t>. Nothing calculated by this spreadsheet should be taken at face value.  The values and formulas used here are only averages and estimates taken from a number of different GC's across the country.</t>
    </r>
  </si>
  <si>
    <r>
      <t xml:space="preserve">That said, this spreadsheet has been reviewed by several successful GCO's and compared with actual figures. They agree that while not able to give a completely accurate forecast of costs, it does provide a good starting point.  The figures given by this sheet should not be used in a business plan or proposal, but only as a general “ball parking” tool.  </t>
    </r>
    <r>
      <rPr>
        <b/>
        <sz val="10"/>
        <rFont val="Arial"/>
        <family val="2"/>
      </rPr>
      <t>Take time to read the notes</t>
    </r>
    <r>
      <rPr>
        <sz val="10"/>
        <rFont val="Arial"/>
        <family val="2"/>
      </rPr>
      <t xml:space="preserve"> made on a lot of the cells in the worksheet, they will explain the reasoning behind a lot of the assumptions.</t>
    </r>
  </si>
  <si>
    <t>Once you have filled out the basic fields in the “Questions” section of the Summary tab, start digging through the rest of the tabs and looking at the estimates. You may find that some of the assumed costs may be different for your location.  Things like the cost of PC hardware are very general, there are no named parts in the list, only the component type. Actual costs may vary greatly if you decide to spend more on hardware, or less.  Then go through and examine the “Startup Cost” tab. Eliminate things you don't intend to have, and add the things you do.  Not everyone needs a dedicated game server.  Some may want a ceiling-mounted stereo system. You get the idea.</t>
  </si>
  <si>
    <t xml:space="preserve">As a final reminder, nothing in this sheet should be taken as the last authority.  According to the figures given by this sheet, a lot of the GC's now in existence shouldn't be making any money at all.  But of course they are. :)  </t>
  </si>
  <si>
    <r>
      <t>Document last modified January 19</t>
    </r>
    <r>
      <rPr>
        <vertAlign val="superscript"/>
        <sz val="10"/>
        <rFont val="Arial"/>
        <family val="2"/>
      </rPr>
      <t>th</t>
    </r>
    <r>
      <rPr>
        <sz val="10"/>
        <rFont val="Arial"/>
        <family val="2"/>
      </rPr>
      <t xml:space="preserve"> 2010</t>
    </r>
  </si>
  <si>
    <r>
      <t xml:space="preserve">Constructed and maintained by Eric Schreffler - </t>
    </r>
    <r>
      <rPr>
        <sz val="10"/>
        <color indexed="12"/>
        <rFont val="Arial"/>
        <family val="2"/>
      </rPr>
      <t>eric@dreamgcs.com</t>
    </r>
  </si>
  <si>
    <t>Gamecenter Expenditure Summary</t>
  </si>
  <si>
    <t>Questions</t>
  </si>
  <si>
    <t>SqFt of Facility</t>
  </si>
  <si>
    <t>Sq.Ft.</t>
  </si>
  <si>
    <t>Rent per Sqft per year</t>
  </si>
  <si>
    <t>Number of PCs</t>
  </si>
  <si>
    <t>Number of Consoles</t>
  </si>
  <si>
    <t>How many hours are you open a week?</t>
  </si>
  <si>
    <t>What is the hourly rate?</t>
  </si>
  <si>
    <t>How much do employees earn per hour?</t>
  </si>
  <si>
    <t>How man hours do employees work?</t>
  </si>
  <si>
    <t>Target Utilization %:</t>
  </si>
  <si>
    <t>How much of your sales is vending?</t>
  </si>
  <si>
    <t>What is the cost per Kw/hr of electricity?</t>
  </si>
  <si>
    <t>Answers</t>
  </si>
  <si>
    <t>Potential Number of Stations:</t>
  </si>
  <si>
    <t>Startup Costs:</t>
  </si>
  <si>
    <t>Monthly Operational Costs:</t>
  </si>
  <si>
    <t>12 month Operational Budget:</t>
  </si>
  <si>
    <t>Required Utilization %:</t>
  </si>
  <si>
    <t>First Year Total:</t>
  </si>
  <si>
    <r>
      <t>2</t>
    </r>
    <r>
      <rPr>
        <vertAlign val="superscript"/>
        <sz val="10"/>
        <rFont val="Arial"/>
        <family val="2"/>
      </rPr>
      <t>nd</t>
    </r>
    <r>
      <rPr>
        <sz val="10"/>
        <rFont val="Arial"/>
        <family val="2"/>
      </rPr>
      <t xml:space="preserve"> Year Total</t>
    </r>
  </si>
  <si>
    <t>3rd:</t>
  </si>
  <si>
    <t>First 12 months breakdown</t>
  </si>
  <si>
    <t>Costs</t>
  </si>
  <si>
    <t>Income</t>
  </si>
  <si>
    <t>Excess</t>
  </si>
  <si>
    <t>References</t>
  </si>
  <si>
    <t>Schedules</t>
  </si>
  <si>
    <t>Sunday</t>
  </si>
  <si>
    <t>Monday</t>
  </si>
  <si>
    <t>Tuesday</t>
  </si>
  <si>
    <t>Wednesday</t>
  </si>
  <si>
    <t>Thursday</t>
  </si>
  <si>
    <t>Friday</t>
  </si>
  <si>
    <t>Saturday</t>
  </si>
  <si>
    <t>Total</t>
  </si>
  <si>
    <t>Monthly</t>
  </si>
  <si>
    <t>12 hr (noon to midnight, late on fri/sat)</t>
  </si>
  <si>
    <t>12's, 24 weekend</t>
  </si>
  <si>
    <t>24 hours</t>
  </si>
  <si>
    <t>Yearly Breakdown</t>
  </si>
  <si>
    <t>Investment</t>
  </si>
  <si>
    <t>Gross Sales</t>
  </si>
  <si>
    <t>Net</t>
  </si>
  <si>
    <t>Year 1</t>
  </si>
  <si>
    <t>Debt year 1</t>
  </si>
  <si>
    <t>Year 2</t>
  </si>
  <si>
    <t>Debt year 2</t>
  </si>
  <si>
    <t>Year 3</t>
  </si>
  <si>
    <t>Year 4</t>
  </si>
  <si>
    <t>Year 5</t>
  </si>
  <si>
    <t>Year over year growth:</t>
  </si>
  <si>
    <t>Expenses</t>
  </si>
  <si>
    <t>Employees</t>
  </si>
  <si>
    <t>Utilization by Month</t>
  </si>
  <si>
    <t>Hours Worked</t>
  </si>
  <si>
    <t>Stations</t>
  </si>
  <si>
    <t>Rent</t>
  </si>
  <si>
    <t>Pay Rate</t>
  </si>
  <si>
    <t>Target Utilization</t>
  </si>
  <si>
    <t>Elec</t>
  </si>
  <si>
    <t>Cost Per wk</t>
  </si>
  <si>
    <t>Hours Open</t>
  </si>
  <si>
    <t>Internet</t>
  </si>
  <si>
    <t>Total Cost /mo</t>
  </si>
  <si>
    <t>Hourly Rate</t>
  </si>
  <si>
    <t>Payroll</t>
  </si>
  <si>
    <t>Taxes</t>
  </si>
  <si>
    <t>Payroll – Taxes</t>
  </si>
  <si>
    <t>PC-Console Split</t>
  </si>
  <si>
    <t>New Games</t>
  </si>
  <si>
    <t>Marketing</t>
  </si>
  <si>
    <t>Electrical</t>
  </si>
  <si>
    <t># of PC</t>
  </si>
  <si>
    <t>Valve</t>
  </si>
  <si>
    <t>Price per Kw/Hr</t>
  </si>
  <si>
    <t>Kw/Hr</t>
  </si>
  <si>
    <t># of Console</t>
  </si>
  <si>
    <t>Hardware Deprec</t>
  </si>
  <si>
    <t>PSU wattage</t>
  </si>
  <si>
    <t>Hrs Used p/mo</t>
  </si>
  <si>
    <t>Floor Layout</t>
  </si>
  <si>
    <t>CC processing</t>
  </si>
  <si>
    <t>PC Cost</t>
  </si>
  <si>
    <t>Price per sqft/yr</t>
  </si>
  <si>
    <t>Security</t>
  </si>
  <si>
    <t>AC Usage</t>
  </si>
  <si>
    <t>Total SqFt</t>
  </si>
  <si>
    <t>AC Cost</t>
  </si>
  <si>
    <t>Station SqFt</t>
  </si>
  <si>
    <t>Phone</t>
  </si>
  <si>
    <t>Total Electric</t>
  </si>
  <si>
    <t>Counter SqFt</t>
  </si>
  <si>
    <t>Storage SqFt</t>
  </si>
  <si>
    <t>Required Util.</t>
  </si>
  <si>
    <t>Monthly Breakdown</t>
  </si>
  <si>
    <t>Utilization %</t>
  </si>
  <si>
    <t>Month</t>
  </si>
  <si>
    <t>Revenue</t>
  </si>
  <si>
    <t>Time Sales</t>
  </si>
  <si>
    <t>Vending Sales</t>
  </si>
  <si>
    <t>Total Sales</t>
  </si>
  <si>
    <t>Vending Cost</t>
  </si>
  <si>
    <t>Profit – Monthly</t>
  </si>
  <si>
    <t>Total Startup Costs</t>
  </si>
  <si>
    <t>Miscellaneous Costs</t>
  </si>
  <si>
    <t>Total:</t>
  </si>
  <si>
    <t>12 month Operations Cost Total:</t>
  </si>
  <si>
    <t>Item</t>
  </si>
  <si>
    <t>QTY</t>
  </si>
  <si>
    <t>Price</t>
  </si>
  <si>
    <t>Subtotal</t>
  </si>
  <si>
    <t>Custom Desk Material</t>
  </si>
  <si>
    <t>Vacuum</t>
  </si>
  <si>
    <t>Total Asset Costs</t>
  </si>
  <si>
    <t>POS Cash Drawer</t>
  </si>
  <si>
    <t>Printer</t>
  </si>
  <si>
    <t>PC Hardware Total</t>
  </si>
  <si>
    <t>Misc Cleaning Supplies</t>
  </si>
  <si>
    <t>Console Hardware Total</t>
  </si>
  <si>
    <t>Misc Office Supplies</t>
  </si>
  <si>
    <t>PC Software Total</t>
  </si>
  <si>
    <t>Exterior Signage</t>
  </si>
  <si>
    <t>Console Software Total</t>
  </si>
  <si>
    <t>Interior Lighting</t>
  </si>
  <si>
    <t>Networking Total</t>
  </si>
  <si>
    <t>Interior Signage</t>
  </si>
  <si>
    <t>Furniture and Fixtures</t>
  </si>
  <si>
    <t>Initial Marketing</t>
  </si>
  <si>
    <t>Miscellaneous Total</t>
  </si>
  <si>
    <t>Architect/Design Fees</t>
  </si>
  <si>
    <t>Buildout Costs Total</t>
  </si>
  <si>
    <t>Website Design</t>
  </si>
  <si>
    <t>PC Hardware Costs</t>
  </si>
  <si>
    <t>Console Hardware Costs</t>
  </si>
  <si>
    <t>Number of PCs:</t>
  </si>
  <si>
    <t>AVG PC Costs:</t>
  </si>
  <si>
    <t>Number of Consoles:</t>
  </si>
  <si>
    <t>Client PC's</t>
  </si>
  <si>
    <t>Xbox 360</t>
  </si>
  <si>
    <t>Server PC's</t>
  </si>
  <si>
    <t>Controller – X360</t>
  </si>
  <si>
    <t>Back Office PC</t>
  </si>
  <si>
    <t>Cabling</t>
  </si>
  <si>
    <t>POS PC w/ reciept printer + barcode scanner</t>
  </si>
  <si>
    <t>LCD Monitor</t>
  </si>
  <si>
    <t>PC Software Costs</t>
  </si>
  <si>
    <t>Console Software Costs</t>
  </si>
  <si>
    <t>% of PCs</t>
  </si>
  <si>
    <t>% of console</t>
  </si>
  <si>
    <t>Game – World of Warcraft</t>
  </si>
  <si>
    <t>Game - Halo 3</t>
  </si>
  <si>
    <t>Game – Battlefield 2 + SF</t>
  </si>
  <si>
    <t>Game – Gears of War</t>
  </si>
  <si>
    <t>Game -- Age of Empires 3</t>
  </si>
  <si>
    <t>Game – Call of Duty 4</t>
  </si>
  <si>
    <t>Game – Unreal (all but 3)</t>
  </si>
  <si>
    <t>Game – DDR Universe Bundle</t>
  </si>
  <si>
    <t>Game -- Unreal (3)</t>
  </si>
  <si>
    <t>Game – Guitar Hero 3 w/ 2 guitar</t>
  </si>
  <si>
    <t>Game – Warcraft 3</t>
  </si>
  <si>
    <t>Game – Rock Band</t>
  </si>
  <si>
    <t>Game – Starcraft</t>
  </si>
  <si>
    <t>Game – Madden NFL 9</t>
  </si>
  <si>
    <t>Game – Supreme Commander</t>
  </si>
  <si>
    <t>Games – Steam (all)</t>
  </si>
  <si>
    <t>Game -- Warhammer Online</t>
  </si>
  <si>
    <t>Game -- City of Heroes/Villians</t>
  </si>
  <si>
    <t>Game -- Call of Duty 4</t>
  </si>
  <si>
    <t>Game -- EALA RTS</t>
  </si>
  <si>
    <t>Game -- Company of Heroes</t>
  </si>
  <si>
    <t>Network Equipment</t>
  </si>
  <si>
    <t>Gigabit Switch</t>
  </si>
  <si>
    <t>Chairs – PC</t>
  </si>
  <si>
    <t>Patch Cables</t>
  </si>
  <si>
    <t>Chairs – Console</t>
  </si>
  <si>
    <t>Rack</t>
  </si>
  <si>
    <t>Front Counter</t>
  </si>
  <si>
    <t xml:space="preserve">CAT 6 Cable Bulk-Plenum 1000' </t>
  </si>
  <si>
    <t>Product Display Cases</t>
  </si>
  <si>
    <t>Punchdowns, connectors, testers, etc</t>
  </si>
  <si>
    <t>UPS</t>
  </si>
</sst>
</file>

<file path=xl/styles.xml><?xml version="1.0" encoding="utf-8"?>
<styleSheet xmlns="http://schemas.openxmlformats.org/spreadsheetml/2006/main">
  <numFmts count="4">
    <numFmt numFmtId="164" formatCode="GENERAL"/>
    <numFmt numFmtId="165" formatCode="[$$-409]#,##0.00;[RED]\-[$$-409]#,##0.00"/>
    <numFmt numFmtId="166" formatCode="0.00%"/>
    <numFmt numFmtId="167" formatCode="[$$-409]#,##0.00;[RED][$$-409]#,##0.00"/>
  </numFmts>
  <fonts count="3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0"/>
      <name val="Arial"/>
      <family val="2"/>
    </font>
    <font>
      <b/>
      <sz val="14"/>
      <color indexed="12"/>
      <name val="Arial"/>
      <family val="2"/>
    </font>
    <font>
      <b/>
      <sz val="10"/>
      <name val="Arial"/>
      <family val="2"/>
    </font>
    <font>
      <vertAlign val="superscript"/>
      <sz val="10"/>
      <name val="Arial"/>
      <family val="2"/>
    </font>
    <font>
      <sz val="10"/>
      <color indexed="12"/>
      <name val="Arial"/>
      <family val="2"/>
    </font>
    <font>
      <b/>
      <sz val="14"/>
      <name val="Arial"/>
      <family val="2"/>
    </font>
    <font>
      <b/>
      <sz val="12"/>
      <name val="Arial"/>
      <family val="2"/>
    </font>
    <font>
      <sz val="10"/>
      <color indexed="10"/>
      <name val="Arial"/>
      <family val="2"/>
    </font>
    <font>
      <sz val="10"/>
      <color indexed="17"/>
      <name val="Arial"/>
      <family val="2"/>
    </font>
    <font>
      <sz val="12"/>
      <name val="Arial"/>
      <family val="2"/>
    </font>
    <font>
      <b/>
      <sz val="9"/>
      <color indexed="8"/>
      <name val="Times New Roman"/>
      <family val="1"/>
    </font>
    <font>
      <b/>
      <sz val="8"/>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55"/>
        <bgColor indexed="64"/>
      </patternFill>
    </fill>
    <fill>
      <patternFill patternType="solid">
        <fgColor indexed="50"/>
        <bgColor indexed="64"/>
      </patternFill>
    </fill>
    <fill>
      <patternFill patternType="solid">
        <fgColor indexed="43"/>
        <bgColor indexed="64"/>
      </patternFill>
    </fill>
    <fill>
      <patternFill patternType="solid">
        <fgColor indexed="25"/>
        <bgColor indexed="64"/>
      </patternFill>
    </fill>
    <fill>
      <patternFill patternType="solid">
        <fgColor indexed="24"/>
        <bgColor indexed="64"/>
      </patternFill>
    </fill>
    <fill>
      <patternFill patternType="solid">
        <fgColor indexed="40"/>
        <bgColor indexed="64"/>
      </patternFill>
    </fill>
    <fill>
      <patternFill patternType="solid">
        <fgColor indexed="31"/>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29"/>
        <bgColor indexed="64"/>
      </patternFill>
    </fill>
    <fill>
      <patternFill patternType="solid">
        <fgColor indexed="57"/>
        <bgColor indexed="64"/>
      </patternFill>
    </fill>
    <fill>
      <patternFill patternType="solid">
        <fgColor indexed="15"/>
        <bgColor indexed="64"/>
      </patternFill>
    </fill>
    <fill>
      <patternFill patternType="solid">
        <fgColor indexed="3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7" borderId="0" applyNumberFormat="0" applyBorder="0" applyAlignment="0" applyProtection="0"/>
    <xf numFmtId="164" fontId="3" fillId="13" borderId="0" applyNumberFormat="0" applyBorder="0" applyAlignment="0" applyProtection="0"/>
    <xf numFmtId="164" fontId="4" fillId="2" borderId="1" applyNumberFormat="0" applyAlignment="0" applyProtection="0"/>
    <xf numFmtId="164" fontId="5" fillId="14" borderId="2" applyNumberFormat="0" applyAlignment="0" applyProtection="0"/>
    <xf numFmtId="164" fontId="6" fillId="0" borderId="0" applyNumberFormat="0" applyFill="0" applyBorder="0" applyAlignment="0" applyProtection="0"/>
    <xf numFmtId="164" fontId="7" fillId="15"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16" borderId="0" applyNumberFormat="0" applyBorder="0" applyAlignment="0" applyProtection="0"/>
    <xf numFmtId="164" fontId="0" fillId="4"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41">
    <xf numFmtId="164" fontId="0" fillId="0" borderId="0" xfId="0" applyAlignment="1">
      <alignment/>
    </xf>
    <xf numFmtId="164" fontId="18" fillId="17" borderId="0" xfId="0" applyFont="1" applyFill="1" applyAlignment="1">
      <alignment horizontal="center" vertical="top"/>
    </xf>
    <xf numFmtId="164" fontId="19" fillId="0" borderId="0" xfId="0" applyFont="1" applyAlignment="1">
      <alignment horizontal="center" vertical="top"/>
    </xf>
    <xf numFmtId="164" fontId="0" fillId="18" borderId="0" xfId="0" applyFont="1" applyFill="1" applyAlignment="1">
      <alignment horizontal="left" vertical="top" wrapText="1"/>
    </xf>
    <xf numFmtId="164" fontId="0" fillId="0" borderId="0" xfId="0" applyFont="1" applyAlignment="1">
      <alignment/>
    </xf>
    <xf numFmtId="164" fontId="23" fillId="0" borderId="0" xfId="0" applyFont="1" applyFill="1" applyAlignment="1">
      <alignment/>
    </xf>
    <xf numFmtId="164" fontId="0" fillId="0" borderId="0" xfId="0" applyFill="1" applyAlignment="1">
      <alignment/>
    </xf>
    <xf numFmtId="164" fontId="19" fillId="0" borderId="0" xfId="0" applyFont="1" applyFill="1" applyAlignment="1">
      <alignment/>
    </xf>
    <xf numFmtId="164" fontId="23" fillId="18" borderId="0" xfId="0" applyFont="1" applyFill="1" applyAlignment="1">
      <alignment/>
    </xf>
    <xf numFmtId="164" fontId="0" fillId="18" borderId="0" xfId="0" applyFill="1" applyAlignment="1">
      <alignment/>
    </xf>
    <xf numFmtId="164" fontId="24" fillId="19" borderId="0" xfId="0" applyFont="1" applyFill="1" applyAlignment="1">
      <alignment/>
    </xf>
    <xf numFmtId="164" fontId="0" fillId="19" borderId="0" xfId="0" applyFill="1" applyAlignment="1">
      <alignment/>
    </xf>
    <xf numFmtId="164" fontId="0" fillId="20" borderId="0" xfId="0" applyFont="1" applyFill="1" applyAlignment="1">
      <alignment horizontal="right"/>
    </xf>
    <xf numFmtId="164" fontId="0" fillId="20" borderId="0" xfId="0" applyFill="1" applyAlignment="1">
      <alignment/>
    </xf>
    <xf numFmtId="165" fontId="0" fillId="20" borderId="0" xfId="0" applyNumberFormat="1" applyFill="1" applyAlignment="1">
      <alignment/>
    </xf>
    <xf numFmtId="164" fontId="0" fillId="20" borderId="0" xfId="0" applyNumberFormat="1" applyFill="1" applyAlignment="1">
      <alignment/>
    </xf>
    <xf numFmtId="166" fontId="0" fillId="20" borderId="0" xfId="0" applyNumberFormat="1" applyFill="1" applyAlignment="1">
      <alignment/>
    </xf>
    <xf numFmtId="164" fontId="0" fillId="0" borderId="0" xfId="0" applyFont="1" applyAlignment="1">
      <alignment horizontal="right"/>
    </xf>
    <xf numFmtId="164" fontId="24" fillId="21" borderId="0" xfId="0" applyFont="1" applyFill="1" applyAlignment="1">
      <alignment horizontal="left"/>
    </xf>
    <xf numFmtId="164" fontId="0" fillId="21" borderId="0" xfId="0" applyFill="1" applyAlignment="1">
      <alignment/>
    </xf>
    <xf numFmtId="164" fontId="0" fillId="4" borderId="0" xfId="0" applyFont="1" applyFill="1" applyAlignment="1">
      <alignment horizontal="right"/>
    </xf>
    <xf numFmtId="164" fontId="0" fillId="4" borderId="0" xfId="0" applyNumberFormat="1" applyFill="1" applyAlignment="1">
      <alignment/>
    </xf>
    <xf numFmtId="165" fontId="0" fillId="4" borderId="0" xfId="0" applyNumberFormat="1" applyFill="1" applyAlignment="1">
      <alignment/>
    </xf>
    <xf numFmtId="164" fontId="0" fillId="4" borderId="0" xfId="0" applyFill="1" applyAlignment="1">
      <alignment/>
    </xf>
    <xf numFmtId="166" fontId="0" fillId="4" borderId="0" xfId="0" applyNumberFormat="1" applyFill="1" applyAlignment="1">
      <alignment/>
    </xf>
    <xf numFmtId="164" fontId="24" fillId="0" borderId="0" xfId="0" applyFont="1" applyAlignment="1">
      <alignment horizontal="center"/>
    </xf>
    <xf numFmtId="164" fontId="24" fillId="17" borderId="0" xfId="0" applyFont="1" applyFill="1" applyAlignment="1">
      <alignment/>
    </xf>
    <xf numFmtId="164" fontId="24" fillId="15" borderId="0" xfId="0" applyFont="1" applyFill="1" applyAlignment="1">
      <alignment/>
    </xf>
    <xf numFmtId="164" fontId="24" fillId="22" borderId="0" xfId="0" applyFont="1" applyFill="1" applyAlignment="1">
      <alignment/>
    </xf>
    <xf numFmtId="164" fontId="20" fillId="0" borderId="0" xfId="0" applyFont="1" applyAlignment="1">
      <alignment/>
    </xf>
    <xf numFmtId="165" fontId="25" fillId="6" borderId="0" xfId="0" applyNumberFormat="1" applyFont="1" applyFill="1" applyAlignment="1">
      <alignment/>
    </xf>
    <xf numFmtId="165" fontId="0" fillId="2" borderId="0" xfId="0" applyNumberFormat="1" applyFill="1" applyAlignment="1">
      <alignment/>
    </xf>
    <xf numFmtId="165" fontId="0" fillId="0" borderId="0" xfId="0" applyNumberFormat="1" applyAlignment="1">
      <alignment/>
    </xf>
    <xf numFmtId="164" fontId="23" fillId="23" borderId="0" xfId="0" applyFont="1" applyFill="1" applyAlignment="1">
      <alignment/>
    </xf>
    <xf numFmtId="164" fontId="0" fillId="23" borderId="0" xfId="0" applyFill="1" applyAlignment="1">
      <alignment/>
    </xf>
    <xf numFmtId="164" fontId="24" fillId="0" borderId="0" xfId="0" applyFont="1" applyAlignment="1">
      <alignment/>
    </xf>
    <xf numFmtId="164" fontId="0" fillId="16" borderId="0" xfId="0" applyFill="1" applyAlignment="1">
      <alignment/>
    </xf>
    <xf numFmtId="164" fontId="20" fillId="16" borderId="0" xfId="0" applyFont="1" applyFill="1" applyAlignment="1">
      <alignment/>
    </xf>
    <xf numFmtId="164" fontId="20" fillId="11" borderId="0" xfId="0" applyFont="1" applyFill="1" applyAlignment="1">
      <alignment horizontal="center"/>
    </xf>
    <xf numFmtId="164" fontId="20" fillId="19" borderId="0" xfId="0" applyFont="1" applyFill="1" applyAlignment="1">
      <alignment horizontal="center"/>
    </xf>
    <xf numFmtId="164" fontId="0" fillId="2" borderId="0" xfId="0" applyFill="1" applyAlignment="1">
      <alignment/>
    </xf>
    <xf numFmtId="164" fontId="0" fillId="11" borderId="0" xfId="0" applyFill="1" applyAlignment="1">
      <alignment horizontal="center"/>
    </xf>
    <xf numFmtId="164" fontId="0" fillId="19" borderId="0" xfId="0" applyFill="1" applyAlignment="1">
      <alignment horizontal="center"/>
    </xf>
    <xf numFmtId="164" fontId="0" fillId="6" borderId="0" xfId="0" applyFill="1" applyAlignment="1">
      <alignment/>
    </xf>
    <xf numFmtId="164" fontId="23" fillId="0" borderId="0" xfId="0" applyFont="1" applyAlignment="1">
      <alignment/>
    </xf>
    <xf numFmtId="164" fontId="19" fillId="0" borderId="0" xfId="0" applyFont="1" applyAlignment="1">
      <alignment/>
    </xf>
    <xf numFmtId="164" fontId="24" fillId="0" borderId="0" xfId="0" applyFont="1" applyFill="1" applyAlignment="1">
      <alignment/>
    </xf>
    <xf numFmtId="164" fontId="23" fillId="20" borderId="0" xfId="0" applyFont="1" applyFill="1" applyAlignment="1">
      <alignment/>
    </xf>
    <xf numFmtId="164" fontId="24" fillId="20" borderId="0" xfId="0" applyFont="1" applyFill="1" applyAlignment="1">
      <alignment/>
    </xf>
    <xf numFmtId="164" fontId="20" fillId="20" borderId="0" xfId="0" applyFont="1" applyFill="1" applyAlignment="1">
      <alignment/>
    </xf>
    <xf numFmtId="164" fontId="20" fillId="20" borderId="0" xfId="0" applyFont="1" applyFill="1" applyAlignment="1">
      <alignment horizontal="center"/>
    </xf>
    <xf numFmtId="165" fontId="25" fillId="20" borderId="0" xfId="0" applyNumberFormat="1" applyFont="1" applyFill="1" applyAlignment="1">
      <alignment/>
    </xf>
    <xf numFmtId="165" fontId="26" fillId="20" borderId="0" xfId="0" applyNumberFormat="1" applyFont="1" applyFill="1" applyAlignment="1">
      <alignment/>
    </xf>
    <xf numFmtId="164" fontId="20" fillId="0" borderId="0" xfId="0" applyFont="1" applyAlignment="1">
      <alignment horizontal="right"/>
    </xf>
    <xf numFmtId="166" fontId="0" fillId="0" borderId="0" xfId="0" applyNumberFormat="1" applyAlignment="1">
      <alignment/>
    </xf>
    <xf numFmtId="164" fontId="24" fillId="24" borderId="0" xfId="0" applyFont="1" applyFill="1" applyAlignment="1">
      <alignment/>
    </xf>
    <xf numFmtId="164" fontId="27" fillId="24" borderId="0" xfId="0" applyFont="1" applyFill="1" applyAlignment="1">
      <alignment/>
    </xf>
    <xf numFmtId="164" fontId="0" fillId="24" borderId="0" xfId="0" applyFill="1" applyAlignment="1">
      <alignment/>
    </xf>
    <xf numFmtId="164" fontId="23" fillId="3" borderId="0" xfId="0" applyFont="1" applyFill="1" applyAlignment="1">
      <alignment/>
    </xf>
    <xf numFmtId="164" fontId="0" fillId="3" borderId="0" xfId="0" applyFill="1" applyAlignment="1">
      <alignment/>
    </xf>
    <xf numFmtId="164" fontId="20" fillId="0" borderId="0" xfId="0" applyFont="1" applyAlignment="1">
      <alignment horizontal="center"/>
    </xf>
    <xf numFmtId="164" fontId="20" fillId="24" borderId="0" xfId="0" applyFont="1" applyFill="1" applyAlignment="1">
      <alignment horizontal="right"/>
    </xf>
    <xf numFmtId="164" fontId="20" fillId="3" borderId="0" xfId="0" applyFont="1" applyFill="1" applyAlignment="1">
      <alignment horizontal="right"/>
    </xf>
    <xf numFmtId="164" fontId="20" fillId="13" borderId="0" xfId="0" applyFont="1" applyFill="1" applyAlignment="1">
      <alignment horizontal="right"/>
    </xf>
    <xf numFmtId="165" fontId="0" fillId="13" borderId="0" xfId="0" applyNumberFormat="1" applyFill="1" applyAlignment="1">
      <alignment/>
    </xf>
    <xf numFmtId="165" fontId="0" fillId="24" borderId="0" xfId="0" applyNumberFormat="1" applyFill="1" applyAlignment="1">
      <alignment/>
    </xf>
    <xf numFmtId="166" fontId="0" fillId="3" borderId="0" xfId="0" applyNumberFormat="1" applyFill="1" applyAlignment="1">
      <alignment/>
    </xf>
    <xf numFmtId="165" fontId="0" fillId="3" borderId="0" xfId="0" applyNumberFormat="1" applyFill="1" applyAlignment="1">
      <alignment/>
    </xf>
    <xf numFmtId="164" fontId="24" fillId="21" borderId="0" xfId="0" applyFont="1" applyFill="1" applyAlignment="1">
      <alignment/>
    </xf>
    <xf numFmtId="164" fontId="20" fillId="21" borderId="0" xfId="0" applyFont="1" applyFill="1" applyAlignment="1">
      <alignment horizontal="right"/>
    </xf>
    <xf numFmtId="166" fontId="0" fillId="21" borderId="0" xfId="0" applyNumberFormat="1" applyFill="1" applyAlignment="1">
      <alignment/>
    </xf>
    <xf numFmtId="164" fontId="24" fillId="25" borderId="0" xfId="0" applyFont="1" applyFill="1" applyAlignment="1">
      <alignment/>
    </xf>
    <xf numFmtId="164" fontId="0" fillId="25" borderId="0" xfId="0" applyFill="1" applyAlignment="1">
      <alignment/>
    </xf>
    <xf numFmtId="164" fontId="20" fillId="25" borderId="0" xfId="0" applyFont="1" applyFill="1" applyAlignment="1">
      <alignment horizontal="right"/>
    </xf>
    <xf numFmtId="165" fontId="0" fillId="25" borderId="0" xfId="0" applyNumberFormat="1" applyFill="1" applyAlignment="1">
      <alignment/>
    </xf>
    <xf numFmtId="165" fontId="0" fillId="16" borderId="0" xfId="0" applyNumberFormat="1" applyFill="1" applyAlignment="1">
      <alignment/>
    </xf>
    <xf numFmtId="164" fontId="0" fillId="16" borderId="0" xfId="0" applyFont="1" applyFill="1" applyAlignment="1">
      <alignment/>
    </xf>
    <xf numFmtId="164" fontId="0" fillId="13" borderId="0" xfId="0" applyFont="1" applyFill="1" applyAlignment="1">
      <alignment/>
    </xf>
    <xf numFmtId="164" fontId="0" fillId="0" borderId="0" xfId="0" applyFont="1" applyFill="1" applyAlignment="1">
      <alignment/>
    </xf>
    <xf numFmtId="164" fontId="24" fillId="13" borderId="0" xfId="0" applyFont="1" applyFill="1" applyAlignment="1">
      <alignment horizontal="right"/>
    </xf>
    <xf numFmtId="165" fontId="27" fillId="13" borderId="0" xfId="0" applyNumberFormat="1" applyFont="1" applyFill="1" applyAlignment="1">
      <alignment/>
    </xf>
    <xf numFmtId="164" fontId="27" fillId="23" borderId="0" xfId="0" applyFont="1" applyFill="1" applyAlignment="1">
      <alignment/>
    </xf>
    <xf numFmtId="166" fontId="27" fillId="23" borderId="0" xfId="0" applyNumberFormat="1" applyFont="1" applyFill="1" applyAlignment="1">
      <alignment/>
    </xf>
    <xf numFmtId="164" fontId="0" fillId="0" borderId="0" xfId="0" applyAlignment="1">
      <alignment horizontal="center"/>
    </xf>
    <xf numFmtId="164" fontId="20" fillId="18" borderId="0" xfId="0" applyFont="1" applyFill="1" applyAlignment="1">
      <alignment/>
    </xf>
    <xf numFmtId="166" fontId="0" fillId="18" borderId="0" xfId="0" applyNumberFormat="1" applyFill="1" applyAlignment="1">
      <alignment/>
    </xf>
    <xf numFmtId="164" fontId="20" fillId="5" borderId="0" xfId="0" applyFont="1" applyFill="1" applyAlignment="1">
      <alignment/>
    </xf>
    <xf numFmtId="164" fontId="0" fillId="5" borderId="0" xfId="0" applyFont="1" applyFill="1" applyAlignment="1">
      <alignment/>
    </xf>
    <xf numFmtId="164" fontId="0" fillId="5" borderId="0" xfId="0" applyFill="1" applyAlignment="1">
      <alignment/>
    </xf>
    <xf numFmtId="165" fontId="0" fillId="6" borderId="0" xfId="0" applyNumberFormat="1" applyFill="1" applyAlignment="1">
      <alignment/>
    </xf>
    <xf numFmtId="167" fontId="0" fillId="0" borderId="0" xfId="0" applyNumberFormat="1" applyFill="1" applyAlignment="1">
      <alignment/>
    </xf>
    <xf numFmtId="165" fontId="25" fillId="0" borderId="0" xfId="0" applyNumberFormat="1" applyFont="1" applyAlignment="1">
      <alignment/>
    </xf>
    <xf numFmtId="164" fontId="0" fillId="14" borderId="0" xfId="0" applyFill="1" applyAlignment="1">
      <alignment/>
    </xf>
    <xf numFmtId="165" fontId="0" fillId="14" borderId="0" xfId="0" applyNumberFormat="1" applyFill="1" applyAlignment="1">
      <alignment/>
    </xf>
    <xf numFmtId="164" fontId="20" fillId="15" borderId="0" xfId="0" applyFont="1" applyFill="1" applyAlignment="1">
      <alignment/>
    </xf>
    <xf numFmtId="165" fontId="0" fillId="15" borderId="0" xfId="0" applyNumberFormat="1" applyFill="1" applyAlignment="1">
      <alignment/>
    </xf>
    <xf numFmtId="164" fontId="23" fillId="26" borderId="0" xfId="0" applyFont="1" applyFill="1" applyAlignment="1">
      <alignment/>
    </xf>
    <xf numFmtId="165" fontId="24" fillId="15" borderId="0" xfId="0" applyNumberFormat="1" applyFont="1" applyFill="1" applyAlignment="1">
      <alignment horizontal="right"/>
    </xf>
    <xf numFmtId="164" fontId="27" fillId="26" borderId="0" xfId="0" applyFont="1" applyFill="1" applyAlignment="1">
      <alignment/>
    </xf>
    <xf numFmtId="164" fontId="24" fillId="18" borderId="0" xfId="0" applyFont="1" applyFill="1" applyAlignment="1">
      <alignment/>
    </xf>
    <xf numFmtId="164" fontId="27" fillId="18" borderId="0" xfId="0" applyFont="1" applyFill="1" applyAlignment="1">
      <alignment/>
    </xf>
    <xf numFmtId="164" fontId="24" fillId="18" borderId="0" xfId="0" applyFont="1" applyFill="1" applyAlignment="1">
      <alignment horizontal="right"/>
    </xf>
    <xf numFmtId="165" fontId="24" fillId="18" borderId="0" xfId="0" applyNumberFormat="1" applyFont="1" applyFill="1" applyAlignment="1">
      <alignment/>
    </xf>
    <xf numFmtId="164" fontId="27" fillId="0" borderId="0" xfId="0" applyFont="1" applyAlignment="1">
      <alignment/>
    </xf>
    <xf numFmtId="164" fontId="27" fillId="0" borderId="0" xfId="0" applyFont="1" applyFill="1" applyAlignment="1">
      <alignment/>
    </xf>
    <xf numFmtId="164" fontId="0" fillId="0" borderId="0" xfId="0" applyNumberFormat="1" applyAlignment="1">
      <alignment/>
    </xf>
    <xf numFmtId="164" fontId="23" fillId="15" borderId="0" xfId="0" applyFont="1" applyFill="1" applyAlignment="1">
      <alignment horizontal="right"/>
    </xf>
    <xf numFmtId="165" fontId="24" fillId="15" borderId="0" xfId="0" applyNumberFormat="1" applyFont="1" applyFill="1" applyAlignment="1">
      <alignment/>
    </xf>
    <xf numFmtId="165" fontId="27" fillId="0" borderId="0" xfId="0" applyNumberFormat="1" applyFont="1" applyAlignment="1">
      <alignment horizontal="center"/>
    </xf>
    <xf numFmtId="164" fontId="24" fillId="0" borderId="0" xfId="0" applyFont="1" applyAlignment="1">
      <alignment horizontal="right"/>
    </xf>
    <xf numFmtId="165" fontId="27" fillId="0" borderId="0" xfId="0" applyNumberFormat="1" applyFont="1" applyAlignment="1">
      <alignment horizontal="right"/>
    </xf>
    <xf numFmtId="165" fontId="0" fillId="0" borderId="0" xfId="0" applyNumberFormat="1" applyFont="1" applyAlignment="1">
      <alignment/>
    </xf>
    <xf numFmtId="164" fontId="20" fillId="0" borderId="0" xfId="0" applyFont="1" applyFill="1" applyAlignment="1">
      <alignment/>
    </xf>
    <xf numFmtId="164" fontId="27" fillId="19" borderId="0" xfId="0" applyFont="1" applyFill="1" applyAlignment="1">
      <alignment/>
    </xf>
    <xf numFmtId="164" fontId="24" fillId="19" borderId="0" xfId="0" applyFont="1" applyFill="1" applyAlignment="1">
      <alignment horizontal="right"/>
    </xf>
    <xf numFmtId="165" fontId="24" fillId="19" borderId="0" xfId="0" applyNumberFormat="1" applyFont="1" applyFill="1" applyAlignment="1">
      <alignment/>
    </xf>
    <xf numFmtId="165" fontId="27" fillId="19" borderId="0" xfId="0" applyNumberFormat="1" applyFont="1" applyFill="1" applyAlignment="1">
      <alignment/>
    </xf>
    <xf numFmtId="164" fontId="24" fillId="8" borderId="0" xfId="0" applyFont="1" applyFill="1" applyAlignment="1">
      <alignment/>
    </xf>
    <xf numFmtId="164" fontId="27" fillId="8" borderId="0" xfId="0" applyFont="1" applyFill="1" applyAlignment="1">
      <alignment/>
    </xf>
    <xf numFmtId="164" fontId="24" fillId="8" borderId="0" xfId="0" applyFont="1" applyFill="1" applyAlignment="1">
      <alignment horizontal="right"/>
    </xf>
    <xf numFmtId="165" fontId="24" fillId="8" borderId="0" xfId="0" applyNumberFormat="1" applyFont="1" applyFill="1" applyAlignment="1">
      <alignment/>
    </xf>
    <xf numFmtId="164" fontId="20" fillId="19" borderId="0" xfId="0" applyFont="1" applyFill="1" applyAlignment="1">
      <alignment/>
    </xf>
    <xf numFmtId="164" fontId="0" fillId="19" borderId="0" xfId="0" applyFont="1" applyFill="1" applyAlignment="1">
      <alignment/>
    </xf>
    <xf numFmtId="164" fontId="20" fillId="8" borderId="0" xfId="0" applyFont="1" applyFill="1" applyAlignment="1">
      <alignment/>
    </xf>
    <xf numFmtId="164" fontId="24" fillId="27" borderId="0" xfId="0" applyFont="1" applyFill="1" applyAlignment="1">
      <alignment/>
    </xf>
    <xf numFmtId="164" fontId="24" fillId="27" borderId="0" xfId="0" applyFont="1" applyFill="1" applyAlignment="1">
      <alignment horizontal="right"/>
    </xf>
    <xf numFmtId="165" fontId="24" fillId="27" borderId="0" xfId="0" applyNumberFormat="1" applyFont="1" applyFill="1" applyAlignment="1">
      <alignment/>
    </xf>
    <xf numFmtId="164" fontId="20" fillId="27" borderId="0" xfId="0" applyFont="1" applyFill="1" applyAlignment="1">
      <alignment/>
    </xf>
    <xf numFmtId="164" fontId="24" fillId="7" borderId="0" xfId="0" applyFont="1" applyFill="1" applyAlignment="1">
      <alignment/>
    </xf>
    <xf numFmtId="164" fontId="0" fillId="7" borderId="0" xfId="0" applyFill="1" applyAlignment="1">
      <alignment/>
    </xf>
    <xf numFmtId="164" fontId="20" fillId="7" borderId="0" xfId="0" applyFont="1" applyFill="1" applyAlignment="1">
      <alignment horizontal="right"/>
    </xf>
    <xf numFmtId="165" fontId="0" fillId="7" borderId="0" xfId="0" applyNumberFormat="1" applyFill="1" applyAlignment="1">
      <alignment/>
    </xf>
    <xf numFmtId="164" fontId="0" fillId="7" borderId="0" xfId="0" applyFont="1" applyFill="1" applyAlignment="1">
      <alignment/>
    </xf>
    <xf numFmtId="164" fontId="24" fillId="10" borderId="0" xfId="0" applyFont="1" applyFill="1" applyAlignment="1">
      <alignment/>
    </xf>
    <xf numFmtId="164" fontId="0" fillId="10" borderId="0" xfId="0" applyFill="1" applyAlignment="1">
      <alignment/>
    </xf>
    <xf numFmtId="164" fontId="20" fillId="10" borderId="0" xfId="0" applyFont="1" applyFill="1" applyAlignment="1">
      <alignment horizontal="right"/>
    </xf>
    <xf numFmtId="165" fontId="0" fillId="10" borderId="0" xfId="0" applyNumberFormat="1" applyFill="1" applyAlignment="1">
      <alignment/>
    </xf>
    <xf numFmtId="164" fontId="20" fillId="7" borderId="0" xfId="0" applyFont="1" applyFill="1" applyAlignment="1">
      <alignment/>
    </xf>
    <xf numFmtId="164" fontId="20" fillId="10" borderId="0" xfId="0" applyFont="1" applyFill="1" applyAlignment="1">
      <alignment/>
    </xf>
    <xf numFmtId="166" fontId="27" fillId="0" borderId="0" xfId="0" applyNumberFormat="1" applyFont="1" applyAlignment="1">
      <alignment/>
    </xf>
    <xf numFmtId="165" fontId="27" fillId="0" borderId="0" xfId="0" applyNumberFormat="1" applyFont="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E6FF00"/>
      <rgbColor rgb="00FF00FF"/>
      <rgbColor rgb="0023FF23"/>
      <rgbColor rgb="00800000"/>
      <rgbColor rgb="00008000"/>
      <rgbColor rgb="00000080"/>
      <rgbColor rgb="00808000"/>
      <rgbColor rgb="00800080"/>
      <rgbColor rgb="00008080"/>
      <rgbColor rgb="00CCCCCC"/>
      <rgbColor rgb="00808080"/>
      <rgbColor rgb="009999FF"/>
      <rgbColor rgb="00FF3366"/>
      <rgbColor rgb="00FFFFCC"/>
      <rgbColor rgb="00CCFFFF"/>
      <rgbColor rgb="00660066"/>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23B8DC"/>
      <rgbColor rgb="003DEB3D"/>
      <rgbColor rgb="00E6E64C"/>
      <rgbColor rgb="00FF9900"/>
      <rgbColor rgb="00EB613D"/>
      <rgbColor rgb="009966CC"/>
      <rgbColor rgb="00B3B3B3"/>
      <rgbColor rgb="00003366"/>
      <rgbColor rgb="0033CC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ANCA.org/" TargetMode="External" /><Relationship Id="rId2" Type="http://schemas.openxmlformats.org/officeDocument/2006/relationships/hyperlink" Target="mailto:eric@dreamgcs.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ILANCA.org/"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ILANCA.org/"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ILANCA.org/" TargetMode="External" /><Relationship Id="rId2" Type="http://schemas.openxmlformats.org/officeDocument/2006/relationships/comments" Target="../comments4.xml" /><Relationship Id="rId3"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B10"/>
  <sheetViews>
    <sheetView tabSelected="1" zoomScale="93" zoomScaleNormal="93" workbookViewId="0" topLeftCell="A1">
      <selection activeCell="B3" sqref="B3"/>
    </sheetView>
  </sheetViews>
  <sheetFormatPr defaultColWidth="12.57421875" defaultRowHeight="12.75"/>
  <cols>
    <col min="1" max="1" width="27.57421875" style="0" customWidth="1"/>
    <col min="2" max="2" width="88.8515625" style="0" customWidth="1"/>
    <col min="3" max="3" width="52.8515625" style="0" customWidth="1"/>
    <col min="4" max="4" width="16.57421875" style="0" customWidth="1"/>
    <col min="5" max="16384" width="11.7109375" style="0" customWidth="1"/>
  </cols>
  <sheetData>
    <row r="1" ht="60" customHeight="1"/>
    <row r="2" ht="27" customHeight="1">
      <c r="B2" s="1" t="s">
        <v>0</v>
      </c>
    </row>
    <row r="3" ht="23.25" customHeight="1">
      <c r="B3" s="2" t="s">
        <v>1</v>
      </c>
    </row>
    <row r="4" ht="69" customHeight="1">
      <c r="B4" s="3" t="s">
        <v>2</v>
      </c>
    </row>
    <row r="5" ht="74.25" customHeight="1">
      <c r="B5" s="3" t="s">
        <v>3</v>
      </c>
    </row>
    <row r="6" ht="97.5" customHeight="1">
      <c r="B6" s="3" t="s">
        <v>4</v>
      </c>
    </row>
    <row r="7" ht="47.25" customHeight="1">
      <c r="B7" s="3" t="s">
        <v>5</v>
      </c>
    </row>
    <row r="9" ht="13.5">
      <c r="B9" s="4" t="s">
        <v>6</v>
      </c>
    </row>
    <row r="10" ht="13.5">
      <c r="B10" t="s">
        <v>7</v>
      </c>
    </row>
  </sheetData>
  <hyperlinks>
    <hyperlink ref="B3" r:id="rId1" display="http://www.ILANCA.org"/>
    <hyperlink ref="B10" r:id="rId2" display="eric@dreamgcs.co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L53"/>
  <sheetViews>
    <sheetView zoomScale="93" zoomScaleNormal="93" workbookViewId="0" topLeftCell="A25">
      <selection activeCell="A1" sqref="A1"/>
    </sheetView>
  </sheetViews>
  <sheetFormatPr defaultColWidth="12.57421875" defaultRowHeight="12.75"/>
  <cols>
    <col min="1" max="1" width="37.421875" style="0" customWidth="1"/>
    <col min="3" max="16384" width="11.7109375" style="0" customWidth="1"/>
  </cols>
  <sheetData>
    <row r="1" spans="1:12" ht="17.25">
      <c r="A1" s="5"/>
      <c r="B1" s="6"/>
      <c r="C1" s="7" t="s">
        <v>1</v>
      </c>
      <c r="D1" s="6"/>
      <c r="E1" s="6"/>
      <c r="F1" s="6"/>
      <c r="G1" s="6"/>
      <c r="H1" s="6"/>
      <c r="I1" s="6"/>
      <c r="J1" s="6"/>
      <c r="K1" s="6"/>
      <c r="L1" s="6"/>
    </row>
    <row r="2" spans="1:12" ht="18">
      <c r="A2" s="8" t="s">
        <v>8</v>
      </c>
      <c r="B2" s="9"/>
      <c r="C2" s="9"/>
      <c r="D2" s="9"/>
      <c r="E2" s="9"/>
      <c r="F2" s="9"/>
      <c r="G2" s="9"/>
      <c r="H2" s="9"/>
      <c r="I2" s="9"/>
      <c r="J2" s="9"/>
      <c r="K2" s="9"/>
      <c r="L2" s="9"/>
    </row>
    <row r="4" spans="1:2" ht="15.75">
      <c r="A4" s="10" t="s">
        <v>9</v>
      </c>
      <c r="B4" s="11"/>
    </row>
    <row r="5" spans="1:3" ht="12.75">
      <c r="A5" s="12" t="s">
        <v>10</v>
      </c>
      <c r="B5" s="13">
        <v>0</v>
      </c>
      <c r="C5" t="s">
        <v>11</v>
      </c>
    </row>
    <row r="6" spans="1:2" ht="12.75">
      <c r="A6" s="12" t="s">
        <v>12</v>
      </c>
      <c r="B6" s="14">
        <v>0</v>
      </c>
    </row>
    <row r="7" spans="1:2" ht="12.75">
      <c r="A7" s="12" t="s">
        <v>13</v>
      </c>
      <c r="B7" s="13">
        <v>0</v>
      </c>
    </row>
    <row r="8" spans="1:2" ht="12.75">
      <c r="A8" s="12" t="s">
        <v>14</v>
      </c>
      <c r="B8" s="15">
        <v>0</v>
      </c>
    </row>
    <row r="9" spans="1:2" ht="12.75">
      <c r="A9" s="12" t="s">
        <v>15</v>
      </c>
      <c r="B9" s="13">
        <v>0</v>
      </c>
    </row>
    <row r="10" spans="1:2" ht="12.75">
      <c r="A10" s="12" t="s">
        <v>16</v>
      </c>
      <c r="B10" s="14">
        <v>0</v>
      </c>
    </row>
    <row r="11" spans="1:2" ht="12.75">
      <c r="A11" s="12" t="s">
        <v>17</v>
      </c>
      <c r="B11" s="14">
        <v>0</v>
      </c>
    </row>
    <row r="12" spans="1:2" ht="12.75">
      <c r="A12" s="12" t="s">
        <v>18</v>
      </c>
      <c r="B12" s="15">
        <v>0</v>
      </c>
    </row>
    <row r="13" spans="1:2" ht="12.75">
      <c r="A13" s="12" t="s">
        <v>19</v>
      </c>
      <c r="B13" s="16">
        <v>0.25</v>
      </c>
    </row>
    <row r="14" spans="1:2" ht="12.75">
      <c r="A14" s="12" t="s">
        <v>20</v>
      </c>
      <c r="B14" s="16">
        <v>0.3</v>
      </c>
    </row>
    <row r="15" spans="1:2" ht="12.75">
      <c r="A15" s="12" t="s">
        <v>21</v>
      </c>
      <c r="B15" s="13">
        <v>0.12</v>
      </c>
    </row>
    <row r="16" ht="12.75">
      <c r="A16" s="17"/>
    </row>
    <row r="17" ht="12.75">
      <c r="A17" s="17"/>
    </row>
    <row r="18" ht="12.75">
      <c r="A18" s="17"/>
    </row>
    <row r="19" ht="12.75">
      <c r="A19" s="17"/>
    </row>
    <row r="20" ht="12.75">
      <c r="A20" s="17"/>
    </row>
    <row r="21" spans="1:2" ht="15">
      <c r="A21" s="18" t="s">
        <v>22</v>
      </c>
      <c r="B21" s="19"/>
    </row>
    <row r="22" spans="1:2" ht="12.75">
      <c r="A22" s="20" t="s">
        <v>23</v>
      </c>
      <c r="B22" s="21">
        <f>Operations!H12</f>
        <v>0</v>
      </c>
    </row>
    <row r="23" spans="1:2" ht="12.75">
      <c r="A23" s="20" t="s">
        <v>24</v>
      </c>
      <c r="B23" s="22">
        <f>'Startup Cost'!B8</f>
        <v>50540</v>
      </c>
    </row>
    <row r="24" spans="1:2" ht="12.75">
      <c r="A24" s="20" t="s">
        <v>25</v>
      </c>
      <c r="B24" s="22">
        <f>Operations!B29</f>
        <v>1300</v>
      </c>
    </row>
    <row r="25" spans="1:2" ht="12.75">
      <c r="A25" s="20" t="s">
        <v>26</v>
      </c>
      <c r="B25" s="22">
        <f>B24*12</f>
        <v>15600</v>
      </c>
    </row>
    <row r="26" spans="1:2" ht="12.75">
      <c r="A26" s="20"/>
      <c r="B26" s="23"/>
    </row>
    <row r="27" spans="1:2" ht="12.75">
      <c r="A27" s="20" t="s">
        <v>27</v>
      </c>
      <c r="B27" s="24" t="e">
        <f>Operations!B30</f>
        <v>#DIV/0!</v>
      </c>
    </row>
    <row r="28" spans="1:2" ht="12.75">
      <c r="A28" s="23"/>
      <c r="B28" s="23"/>
    </row>
    <row r="29" spans="1:2" ht="12.75">
      <c r="A29" s="20" t="s">
        <v>28</v>
      </c>
      <c r="B29" s="22">
        <f>Operations!D4</f>
        <v>-66140</v>
      </c>
    </row>
    <row r="30" spans="1:2" ht="14.25">
      <c r="A30" s="20" t="s">
        <v>29</v>
      </c>
      <c r="B30" s="22">
        <f>Operations!D5</f>
        <v>-15600</v>
      </c>
    </row>
    <row r="31" spans="1:2" ht="12.75">
      <c r="A31" s="20" t="s">
        <v>30</v>
      </c>
      <c r="B31" s="22">
        <f>Operations!D6</f>
        <v>-16380</v>
      </c>
    </row>
    <row r="33" ht="15.75">
      <c r="D33" s="25" t="s">
        <v>31</v>
      </c>
    </row>
    <row r="34" spans="3:5" ht="15.75">
      <c r="C34" s="26" t="s">
        <v>32</v>
      </c>
      <c r="D34" s="27" t="s">
        <v>33</v>
      </c>
      <c r="E34" s="28" t="s">
        <v>34</v>
      </c>
    </row>
    <row r="35" spans="1:5" ht="12.75">
      <c r="A35" s="17"/>
      <c r="B35" s="29">
        <v>1</v>
      </c>
      <c r="C35" s="30">
        <f>Operations!B46</f>
        <v>1300</v>
      </c>
      <c r="D35" s="31">
        <f>Operations!B43</f>
        <v>0</v>
      </c>
      <c r="E35" s="22">
        <f>Operations!B48</f>
        <v>-1300</v>
      </c>
    </row>
    <row r="36" spans="1:5" ht="12.75">
      <c r="A36" s="17"/>
      <c r="B36" s="29">
        <v>2</v>
      </c>
      <c r="C36" s="30">
        <f>Operations!C46</f>
        <v>1300</v>
      </c>
      <c r="D36" s="31">
        <f>Operations!C43</f>
        <v>0</v>
      </c>
      <c r="E36" s="22">
        <f>Operations!C48</f>
        <v>-1300</v>
      </c>
    </row>
    <row r="37" spans="1:5" ht="12.75">
      <c r="A37" s="17"/>
      <c r="B37" s="29">
        <v>3</v>
      </c>
      <c r="C37" s="30">
        <f>Operations!D46</f>
        <v>1300</v>
      </c>
      <c r="D37" s="31">
        <f>Operations!D43</f>
        <v>0</v>
      </c>
      <c r="E37" s="22">
        <f>Operations!D48</f>
        <v>-1300</v>
      </c>
    </row>
    <row r="38" spans="1:5" ht="12.75">
      <c r="A38" s="17"/>
      <c r="B38" s="29">
        <v>4</v>
      </c>
      <c r="C38" s="30">
        <f>Operations!E46</f>
        <v>1300</v>
      </c>
      <c r="D38" s="31">
        <f>Operations!E43</f>
        <v>0</v>
      </c>
      <c r="E38" s="22">
        <f>Operations!E48</f>
        <v>-1300</v>
      </c>
    </row>
    <row r="39" spans="1:5" ht="12.75">
      <c r="A39" s="17"/>
      <c r="B39" s="29">
        <v>5</v>
      </c>
      <c r="C39" s="30">
        <f>Operations!F46</f>
        <v>1300</v>
      </c>
      <c r="D39" s="31">
        <f>Operations!F43</f>
        <v>0</v>
      </c>
      <c r="E39" s="22">
        <f>Operations!F48</f>
        <v>-1300</v>
      </c>
    </row>
    <row r="40" spans="1:5" ht="12.75">
      <c r="A40" s="17"/>
      <c r="B40" s="29">
        <v>6</v>
      </c>
      <c r="C40" s="30">
        <f>Operations!G46</f>
        <v>1300</v>
      </c>
      <c r="D40" s="31">
        <f>Operations!G43</f>
        <v>0</v>
      </c>
      <c r="E40" s="22">
        <f>Operations!G48</f>
        <v>-1300</v>
      </c>
    </row>
    <row r="41" spans="1:5" ht="12.75">
      <c r="A41" s="17"/>
      <c r="B41" s="29">
        <v>7</v>
      </c>
      <c r="C41" s="30">
        <f>Operations!H46</f>
        <v>1300</v>
      </c>
      <c r="D41" s="31">
        <f>Operations!H43</f>
        <v>0</v>
      </c>
      <c r="E41" s="22">
        <f>Operations!H48</f>
        <v>-1300</v>
      </c>
    </row>
    <row r="42" spans="1:5" ht="12.75">
      <c r="A42" s="17"/>
      <c r="B42" s="29">
        <v>8</v>
      </c>
      <c r="C42" s="30">
        <f>Operations!I46</f>
        <v>1300</v>
      </c>
      <c r="D42" s="31">
        <f>Operations!I43</f>
        <v>0</v>
      </c>
      <c r="E42" s="22">
        <f>Operations!I48</f>
        <v>-1300</v>
      </c>
    </row>
    <row r="43" spans="1:5" ht="12.75">
      <c r="A43" s="17"/>
      <c r="B43" s="29">
        <v>9</v>
      </c>
      <c r="C43" s="30">
        <f>Operations!J46</f>
        <v>1300</v>
      </c>
      <c r="D43" s="31">
        <f>Operations!J43</f>
        <v>0</v>
      </c>
      <c r="E43" s="22">
        <f>Operations!J48</f>
        <v>-1300</v>
      </c>
    </row>
    <row r="44" spans="1:5" ht="12.75">
      <c r="A44" s="17"/>
      <c r="B44" s="29">
        <v>11</v>
      </c>
      <c r="C44" s="30">
        <f>Operations!L46</f>
        <v>1300</v>
      </c>
      <c r="D44" s="31">
        <f>Operations!L43</f>
        <v>0</v>
      </c>
      <c r="E44" s="22">
        <f>Operations!L48</f>
        <v>-1300</v>
      </c>
    </row>
    <row r="45" spans="1:5" ht="12.75">
      <c r="A45" s="17"/>
      <c r="B45" s="29">
        <v>12</v>
      </c>
      <c r="C45" s="30">
        <f>Operations!M46</f>
        <v>1300</v>
      </c>
      <c r="D45" s="31">
        <f>Operations!M43</f>
        <v>0</v>
      </c>
      <c r="E45" s="22">
        <f>Operations!M48</f>
        <v>-1300</v>
      </c>
    </row>
    <row r="46" spans="1:2" ht="12.75">
      <c r="A46" s="17"/>
      <c r="B46" s="32"/>
    </row>
    <row r="47" spans="1:12" ht="17.25">
      <c r="A47" s="33" t="s">
        <v>35</v>
      </c>
      <c r="B47" s="34"/>
      <c r="C47" s="34"/>
      <c r="D47" s="34"/>
      <c r="E47" s="34"/>
      <c r="F47" s="34"/>
      <c r="G47" s="34"/>
      <c r="H47" s="34"/>
      <c r="I47" s="34"/>
      <c r="J47" s="34"/>
      <c r="K47" s="34"/>
      <c r="L47" s="34"/>
    </row>
    <row r="49" ht="15">
      <c r="B49" s="35" t="s">
        <v>36</v>
      </c>
    </row>
    <row r="50" spans="1:10" ht="12.75">
      <c r="A50" s="36"/>
      <c r="B50" s="37" t="s">
        <v>37</v>
      </c>
      <c r="C50" s="37" t="s">
        <v>38</v>
      </c>
      <c r="D50" s="37" t="s">
        <v>39</v>
      </c>
      <c r="E50" s="37" t="s">
        <v>40</v>
      </c>
      <c r="F50" s="37" t="s">
        <v>41</v>
      </c>
      <c r="G50" s="37" t="s">
        <v>42</v>
      </c>
      <c r="H50" s="37" t="s">
        <v>43</v>
      </c>
      <c r="I50" s="38" t="s">
        <v>44</v>
      </c>
      <c r="J50" s="39" t="s">
        <v>45</v>
      </c>
    </row>
    <row r="51" spans="1:10" ht="12.75">
      <c r="A51" s="36" t="s">
        <v>46</v>
      </c>
      <c r="B51" s="40">
        <v>12</v>
      </c>
      <c r="C51" s="40">
        <v>12</v>
      </c>
      <c r="D51" s="40">
        <v>12</v>
      </c>
      <c r="E51" s="40">
        <v>12</v>
      </c>
      <c r="F51" s="40">
        <v>12</v>
      </c>
      <c r="G51" s="40">
        <v>14</v>
      </c>
      <c r="H51" s="40">
        <v>14</v>
      </c>
      <c r="I51" s="41">
        <f>SUM(B51:H51)</f>
        <v>88</v>
      </c>
      <c r="J51" s="42">
        <f>I51*52/12</f>
        <v>381.3333333333333</v>
      </c>
    </row>
    <row r="52" spans="1:10" ht="12.75">
      <c r="A52" s="36" t="s">
        <v>47</v>
      </c>
      <c r="B52" s="43">
        <v>12</v>
      </c>
      <c r="C52" s="43">
        <v>12</v>
      </c>
      <c r="D52" s="43">
        <v>12</v>
      </c>
      <c r="E52" s="43">
        <v>12</v>
      </c>
      <c r="F52" s="43">
        <v>12</v>
      </c>
      <c r="G52" s="43">
        <v>24</v>
      </c>
      <c r="H52" s="43">
        <v>24</v>
      </c>
      <c r="I52" s="41">
        <f>SUM(B52:H52)</f>
        <v>108</v>
      </c>
      <c r="J52" s="42">
        <f>I52*52/12</f>
        <v>468</v>
      </c>
    </row>
    <row r="53" spans="1:10" ht="12.75">
      <c r="A53" s="36" t="s">
        <v>48</v>
      </c>
      <c r="B53" s="40">
        <v>24</v>
      </c>
      <c r="C53" s="40">
        <v>24</v>
      </c>
      <c r="D53" s="40">
        <v>24</v>
      </c>
      <c r="E53" s="40">
        <v>24</v>
      </c>
      <c r="F53" s="40">
        <v>24</v>
      </c>
      <c r="G53" s="40">
        <v>24</v>
      </c>
      <c r="H53" s="40">
        <v>24</v>
      </c>
      <c r="I53" s="41">
        <f>SUM(B53:H53)</f>
        <v>168</v>
      </c>
      <c r="J53" s="42">
        <f>I53*52/12</f>
        <v>728</v>
      </c>
    </row>
  </sheetData>
  <hyperlinks>
    <hyperlink ref="C1" r:id="rId1" display="http://www.ILANCA.org"/>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legacyDrawing r:id="rId3"/>
</worksheet>
</file>

<file path=xl/worksheets/sheet3.xml><?xml version="1.0" encoding="utf-8"?>
<worksheet xmlns="http://schemas.openxmlformats.org/spreadsheetml/2006/main" xmlns:r="http://schemas.openxmlformats.org/officeDocument/2006/relationships">
  <dimension ref="A1:M48"/>
  <sheetViews>
    <sheetView zoomScale="93" zoomScaleNormal="93" workbookViewId="0" topLeftCell="A10">
      <selection activeCell="D23" sqref="D23"/>
    </sheetView>
  </sheetViews>
  <sheetFormatPr defaultColWidth="12.57421875" defaultRowHeight="12.75"/>
  <cols>
    <col min="1" max="1" width="17.7109375" style="0" customWidth="1"/>
    <col min="2" max="2" width="13.8515625" style="0" customWidth="1"/>
    <col min="3" max="3" width="13.57421875" style="0" customWidth="1"/>
    <col min="4" max="4" width="16.8515625" style="0" customWidth="1"/>
    <col min="5" max="5" width="14.00390625" style="0" customWidth="1"/>
    <col min="6" max="6" width="13.28125" style="0" customWidth="1"/>
    <col min="7" max="7" width="15.421875" style="0" customWidth="1"/>
    <col min="8" max="8" width="12.8515625" style="0" customWidth="1"/>
    <col min="9" max="9" width="12.57421875" style="0" customWidth="1"/>
    <col min="10" max="10" width="12.7109375" style="0" customWidth="1"/>
    <col min="11" max="11" width="12.8515625" style="0" customWidth="1"/>
    <col min="13" max="16384" width="11.57421875" style="0" customWidth="1"/>
  </cols>
  <sheetData>
    <row r="1" spans="1:6" ht="17.25">
      <c r="A1" s="44"/>
      <c r="C1" s="6"/>
      <c r="D1" s="45" t="s">
        <v>1</v>
      </c>
      <c r="E1" s="6"/>
      <c r="F1" s="46"/>
    </row>
    <row r="2" spans="1:6" ht="17.25">
      <c r="A2" s="47" t="s">
        <v>49</v>
      </c>
      <c r="B2" s="14"/>
      <c r="C2" s="13"/>
      <c r="D2" s="13"/>
      <c r="F2" s="48" t="s">
        <v>50</v>
      </c>
    </row>
    <row r="3" spans="1:6" ht="12.75">
      <c r="A3" s="49"/>
      <c r="B3" s="50" t="s">
        <v>51</v>
      </c>
      <c r="C3" s="50" t="s">
        <v>32</v>
      </c>
      <c r="D3" s="50" t="s">
        <v>52</v>
      </c>
      <c r="F3" s="14">
        <f>'Startup Cost'!B8</f>
        <v>50540</v>
      </c>
    </row>
    <row r="4" spans="1:6" ht="12.75">
      <c r="A4" s="49" t="s">
        <v>53</v>
      </c>
      <c r="B4" s="14">
        <f>SUM(B43:M43)</f>
        <v>0</v>
      </c>
      <c r="C4" s="51">
        <f>SUM(B46:M46)+'Startup Cost'!B8</f>
        <v>66140</v>
      </c>
      <c r="D4" s="52">
        <f>B4-C4</f>
        <v>-66140</v>
      </c>
      <c r="E4" s="17" t="s">
        <v>54</v>
      </c>
      <c r="F4" s="14">
        <f>F3-(D4)</f>
        <v>116680</v>
      </c>
    </row>
    <row r="5" spans="1:6" ht="12.75">
      <c r="A5" s="49" t="s">
        <v>55</v>
      </c>
      <c r="B5" s="14">
        <f>M43*12</f>
        <v>0</v>
      </c>
      <c r="C5" s="51">
        <f>M46*12</f>
        <v>15600</v>
      </c>
      <c r="D5" s="52">
        <f>B5-C5</f>
        <v>-15600</v>
      </c>
      <c r="E5" s="17" t="s">
        <v>56</v>
      </c>
      <c r="F5" s="14">
        <f>F4-(D5)</f>
        <v>132280</v>
      </c>
    </row>
    <row r="6" spans="1:6" ht="12.75">
      <c r="A6" s="49" t="s">
        <v>57</v>
      </c>
      <c r="B6" s="14">
        <f>(B5*C9)+B5</f>
        <v>0</v>
      </c>
      <c r="C6" s="51">
        <f>(C5*C9+C5)</f>
        <v>16380</v>
      </c>
      <c r="D6" s="52">
        <f>B6-C6</f>
        <v>-16380</v>
      </c>
      <c r="E6">
        <v>3</v>
      </c>
      <c r="F6" s="14">
        <f>F5-(D6)</f>
        <v>148660</v>
      </c>
    </row>
    <row r="7" spans="1:6" ht="12.75">
      <c r="A7" s="49" t="s">
        <v>58</v>
      </c>
      <c r="B7" s="14">
        <f>(B6*C9)+B6</f>
        <v>0</v>
      </c>
      <c r="C7" s="51">
        <f>(C5*C9+C5)*C9+(C5*C9+C5)</f>
        <v>17199</v>
      </c>
      <c r="D7" s="52">
        <f>B7-C7</f>
        <v>-17199</v>
      </c>
      <c r="E7">
        <v>4</v>
      </c>
      <c r="F7" s="14">
        <f>F6-(D7)</f>
        <v>165859</v>
      </c>
    </row>
    <row r="8" spans="1:6" ht="12.75">
      <c r="A8" s="49" t="s">
        <v>59</v>
      </c>
      <c r="B8" s="14">
        <f>(B7*C9)+B7</f>
        <v>0</v>
      </c>
      <c r="C8" s="51">
        <f>(C7*C9+C7)</f>
        <v>18058.95</v>
      </c>
      <c r="D8" s="52">
        <f>B8-C8</f>
        <v>-18058.95</v>
      </c>
      <c r="E8">
        <v>5</v>
      </c>
      <c r="F8" s="14">
        <f>F7-(D8)</f>
        <v>183917.95</v>
      </c>
    </row>
    <row r="9" spans="2:3" ht="12.75">
      <c r="B9" s="53" t="s">
        <v>60</v>
      </c>
      <c r="C9" s="54">
        <v>0.05</v>
      </c>
    </row>
    <row r="11" spans="1:9" ht="17.25">
      <c r="A11" s="55" t="s">
        <v>61</v>
      </c>
      <c r="B11" s="56"/>
      <c r="D11" s="55" t="s">
        <v>62</v>
      </c>
      <c r="E11" s="57"/>
      <c r="G11" s="58" t="s">
        <v>63</v>
      </c>
      <c r="H11" s="59"/>
      <c r="I11" s="60"/>
    </row>
    <row r="12" spans="1:8" ht="12.75">
      <c r="A12" s="57"/>
      <c r="B12" s="57"/>
      <c r="D12" s="61" t="s">
        <v>64</v>
      </c>
      <c r="E12" s="57">
        <f>Summary!B12</f>
        <v>0</v>
      </c>
      <c r="G12" s="62" t="s">
        <v>65</v>
      </c>
      <c r="H12" s="59">
        <f>Summary!B7+Summary!B8</f>
        <v>0</v>
      </c>
    </row>
    <row r="13" spans="1:8" ht="12.75">
      <c r="A13" s="63" t="s">
        <v>66</v>
      </c>
      <c r="B13" s="64">
        <f>(Summary!B5*Summary!B6)/12</f>
        <v>0</v>
      </c>
      <c r="D13" s="61" t="s">
        <v>67</v>
      </c>
      <c r="E13" s="65">
        <f>Summary!B11</f>
        <v>0</v>
      </c>
      <c r="G13" s="62" t="s">
        <v>68</v>
      </c>
      <c r="H13" s="66">
        <f>Summary!B13</f>
        <v>0.25</v>
      </c>
    </row>
    <row r="14" spans="1:8" ht="12.75">
      <c r="A14" s="63" t="s">
        <v>69</v>
      </c>
      <c r="B14" s="64">
        <f>E26</f>
        <v>0</v>
      </c>
      <c r="D14" s="61" t="s">
        <v>70</v>
      </c>
      <c r="E14" s="65">
        <f>E12*E13</f>
        <v>0</v>
      </c>
      <c r="G14" s="62" t="s">
        <v>71</v>
      </c>
      <c r="H14" s="59">
        <f>Summary!B9*52/12</f>
        <v>0</v>
      </c>
    </row>
    <row r="15" spans="1:8" ht="12.75">
      <c r="A15" s="63" t="s">
        <v>72</v>
      </c>
      <c r="B15" s="64">
        <v>600</v>
      </c>
      <c r="D15" s="61" t="s">
        <v>73</v>
      </c>
      <c r="E15" s="65">
        <f>E14*52/12</f>
        <v>0</v>
      </c>
      <c r="G15" s="62" t="s">
        <v>74</v>
      </c>
      <c r="H15" s="67">
        <f>Summary!B10</f>
        <v>0</v>
      </c>
    </row>
    <row r="16" spans="1:5" ht="12.75">
      <c r="A16" s="63" t="s">
        <v>75</v>
      </c>
      <c r="B16" s="64">
        <f>E15</f>
        <v>0</v>
      </c>
      <c r="D16" s="61" t="s">
        <v>76</v>
      </c>
      <c r="E16" s="65">
        <f>E15*0.15</f>
        <v>0</v>
      </c>
    </row>
    <row r="17" spans="1:8" ht="15.75">
      <c r="A17" s="63" t="s">
        <v>77</v>
      </c>
      <c r="B17" s="64">
        <f>E16</f>
        <v>0</v>
      </c>
      <c r="G17" s="68" t="s">
        <v>78</v>
      </c>
      <c r="H17" s="19"/>
    </row>
    <row r="18" spans="1:8" ht="12.75">
      <c r="A18" s="63" t="s">
        <v>79</v>
      </c>
      <c r="B18" s="64">
        <v>100</v>
      </c>
      <c r="G18" s="69"/>
      <c r="H18" s="70"/>
    </row>
    <row r="19" spans="1:8" ht="15.75">
      <c r="A19" s="63" t="s">
        <v>80</v>
      </c>
      <c r="B19" s="64">
        <v>500</v>
      </c>
      <c r="D19" s="71" t="s">
        <v>81</v>
      </c>
      <c r="E19" s="72"/>
      <c r="G19" s="69" t="s">
        <v>82</v>
      </c>
      <c r="H19" s="19">
        <f>Summary!B7</f>
        <v>0</v>
      </c>
    </row>
    <row r="20" spans="1:8" ht="12.75">
      <c r="A20" s="63" t="s">
        <v>83</v>
      </c>
      <c r="B20" s="64">
        <f>H19*0.6*10</f>
        <v>0</v>
      </c>
      <c r="D20" s="73" t="s">
        <v>84</v>
      </c>
      <c r="E20" s="74">
        <f>Summary!B15</f>
        <v>0.12</v>
      </c>
      <c r="F20" t="s">
        <v>85</v>
      </c>
      <c r="G20" s="69" t="s">
        <v>86</v>
      </c>
      <c r="H20" s="19">
        <f>Summary!B8</f>
        <v>0</v>
      </c>
    </row>
    <row r="21" spans="1:5" ht="12.75">
      <c r="A21" s="63" t="s">
        <v>87</v>
      </c>
      <c r="B21" s="64">
        <f>'Startup Cost'!E22*H19/24</f>
        <v>0</v>
      </c>
      <c r="D21" s="73" t="s">
        <v>88</v>
      </c>
      <c r="E21" s="72">
        <v>550</v>
      </c>
    </row>
    <row r="22" spans="1:8" ht="15.75">
      <c r="A22" s="63"/>
      <c r="B22" s="64"/>
      <c r="C22" s="32"/>
      <c r="D22" s="73" t="s">
        <v>89</v>
      </c>
      <c r="E22" s="72">
        <f>H14*H13*H12</f>
        <v>0</v>
      </c>
      <c r="G22" s="68" t="s">
        <v>90</v>
      </c>
      <c r="H22" s="19"/>
    </row>
    <row r="23" spans="1:8" ht="12.75">
      <c r="A23" s="63" t="s">
        <v>91</v>
      </c>
      <c r="B23" s="64">
        <v>30</v>
      </c>
      <c r="C23" s="32"/>
      <c r="D23" s="73" t="s">
        <v>92</v>
      </c>
      <c r="E23" s="74">
        <f>E22*E21/1000*E20</f>
        <v>0</v>
      </c>
      <c r="G23" s="69" t="s">
        <v>93</v>
      </c>
      <c r="H23" s="75">
        <f>Summary!B6</f>
        <v>0</v>
      </c>
    </row>
    <row r="24" spans="1:8" ht="12.75">
      <c r="A24" s="63" t="s">
        <v>94</v>
      </c>
      <c r="B24" s="64">
        <v>30</v>
      </c>
      <c r="C24" s="32"/>
      <c r="D24" s="73" t="s">
        <v>95</v>
      </c>
      <c r="E24" s="72">
        <f>(H24/1000)*5.5*8*125/12</f>
        <v>0</v>
      </c>
      <c r="G24" s="69" t="s">
        <v>96</v>
      </c>
      <c r="H24" s="36">
        <f>Summary!B5</f>
        <v>0</v>
      </c>
    </row>
    <row r="25" spans="1:8" ht="12.75">
      <c r="A25" s="63"/>
      <c r="B25" s="64"/>
      <c r="D25" s="73" t="s">
        <v>97</v>
      </c>
      <c r="E25" s="74">
        <f>E24*E20</f>
        <v>0</v>
      </c>
      <c r="G25" s="69" t="s">
        <v>98</v>
      </c>
      <c r="H25" s="36">
        <v>30</v>
      </c>
    </row>
    <row r="26" spans="1:11" ht="18">
      <c r="A26" s="63" t="s">
        <v>99</v>
      </c>
      <c r="B26" s="64">
        <v>40</v>
      </c>
      <c r="D26" s="73" t="s">
        <v>100</v>
      </c>
      <c r="E26" s="74">
        <f>E25+E23</f>
        <v>0</v>
      </c>
      <c r="G26" s="69" t="s">
        <v>101</v>
      </c>
      <c r="H26" s="76">
        <v>400</v>
      </c>
      <c r="J26" s="44"/>
      <c r="K26" s="44"/>
    </row>
    <row r="27" spans="1:8" ht="12.75">
      <c r="A27" s="77"/>
      <c r="B27" s="64"/>
      <c r="G27" s="69" t="s">
        <v>102</v>
      </c>
      <c r="H27" s="36">
        <v>100</v>
      </c>
    </row>
    <row r="28" spans="1:3" ht="12.75">
      <c r="A28" s="77"/>
      <c r="B28" s="64"/>
      <c r="C28" s="78"/>
    </row>
    <row r="29" spans="1:2" ht="15.75">
      <c r="A29" s="79" t="s">
        <v>44</v>
      </c>
      <c r="B29" s="80">
        <f>SUM(B13:B26)</f>
        <v>1300</v>
      </c>
    </row>
    <row r="30" spans="1:2" ht="15">
      <c r="A30" s="81" t="s">
        <v>103</v>
      </c>
      <c r="B30" s="82">
        <f>B29/(H12*H14*H15)</f>
        <v>0</v>
      </c>
    </row>
    <row r="32" spans="12:13" ht="12.75">
      <c r="L32" s="83"/>
      <c r="M32" s="83"/>
    </row>
    <row r="33" spans="1:13" ht="17.25">
      <c r="A33" s="44" t="s">
        <v>104</v>
      </c>
      <c r="B33" s="44"/>
      <c r="C33" s="44"/>
      <c r="D33" s="44"/>
      <c r="E33" s="44"/>
      <c r="F33" s="44"/>
      <c r="G33" s="44"/>
      <c r="H33" s="44"/>
      <c r="I33" s="44"/>
      <c r="L33" s="44"/>
      <c r="M33" s="44"/>
    </row>
    <row r="35" ht="15">
      <c r="A35" s="35" t="s">
        <v>53</v>
      </c>
    </row>
    <row r="36" spans="1:13" ht="12.75">
      <c r="A36" s="84" t="s">
        <v>105</v>
      </c>
      <c r="B36" s="85">
        <f>Operations!H13*0.3</f>
        <v>0.07500000000000001</v>
      </c>
      <c r="C36" s="85">
        <f>Operations!H13*0.4</f>
        <v>0.1</v>
      </c>
      <c r="D36" s="85">
        <f>Operations!H13*0.6</f>
        <v>0.15000000000000002</v>
      </c>
      <c r="E36" s="85">
        <f>Operations!H13*0.7</f>
        <v>0.17500000000000002</v>
      </c>
      <c r="F36" s="85">
        <f>Operations!H13*0.7</f>
        <v>0.17500000000000002</v>
      </c>
      <c r="G36" s="85">
        <f>Operations!H13*0.8</f>
        <v>0.2</v>
      </c>
      <c r="H36" s="85">
        <f>Operations!H13*0.8</f>
        <v>0.2</v>
      </c>
      <c r="I36" s="85">
        <f>Operations!H13*0.8</f>
        <v>0.2</v>
      </c>
      <c r="J36" s="85">
        <f>Operations!H13*0.9</f>
        <v>0.225</v>
      </c>
      <c r="K36" s="85">
        <f>Operations!H13*0.9</f>
        <v>0.225</v>
      </c>
      <c r="L36" s="85">
        <f>Operations!H13</f>
        <v>0.25</v>
      </c>
      <c r="M36" s="85">
        <f>Operations!H13</f>
        <v>0.25</v>
      </c>
    </row>
    <row r="37" spans="1:13" ht="12.75">
      <c r="A37" s="86" t="s">
        <v>106</v>
      </c>
      <c r="B37" s="87">
        <v>1</v>
      </c>
      <c r="C37" s="87">
        <v>2</v>
      </c>
      <c r="D37" s="87">
        <v>3</v>
      </c>
      <c r="E37" s="87">
        <v>4</v>
      </c>
      <c r="F37" s="87">
        <v>5</v>
      </c>
      <c r="G37" s="88">
        <v>6</v>
      </c>
      <c r="H37" s="88">
        <v>7</v>
      </c>
      <c r="I37" s="88">
        <v>8</v>
      </c>
      <c r="J37" s="88">
        <v>9</v>
      </c>
      <c r="K37" s="88">
        <v>10</v>
      </c>
      <c r="L37" s="88">
        <v>11</v>
      </c>
      <c r="M37" s="88">
        <v>12</v>
      </c>
    </row>
    <row r="38" spans="1:13" ht="12.75">
      <c r="A38" s="37" t="s">
        <v>107</v>
      </c>
      <c r="B38" s="36"/>
      <c r="C38" s="36"/>
      <c r="D38" s="36"/>
      <c r="E38" s="36"/>
      <c r="F38" s="36"/>
      <c r="G38" s="36"/>
      <c r="H38" s="36"/>
      <c r="I38" s="36"/>
      <c r="J38" s="36"/>
      <c r="K38" s="36"/>
      <c r="L38" s="36"/>
      <c r="M38" s="36"/>
    </row>
    <row r="39" spans="1:13" ht="12.75">
      <c r="A39" s="36" t="s">
        <v>108</v>
      </c>
      <c r="B39" s="75">
        <f>(Operations!H14*B36)*Operations!H15*Operations!H12</f>
        <v>0</v>
      </c>
      <c r="C39" s="75">
        <f>(Operations!H14*C36)*Operations!H15*Operations!H12</f>
        <v>0</v>
      </c>
      <c r="D39" s="75">
        <f>(Operations!H14*D36)*Operations!H15*Operations!H12</f>
        <v>0</v>
      </c>
      <c r="E39" s="75">
        <f>(Operations!H14*E36)*Operations!H15*Operations!H12</f>
        <v>0</v>
      </c>
      <c r="F39" s="75">
        <f>(Operations!H14*F36)*Operations!H15*Operations!H12</f>
        <v>0</v>
      </c>
      <c r="G39" s="75">
        <f>(Operations!H14*G36)*Operations!H15*Operations!H12</f>
        <v>0</v>
      </c>
      <c r="H39" s="75">
        <f>(Operations!H14*H36)*Operations!H15*Operations!H12</f>
        <v>0</v>
      </c>
      <c r="I39" s="75">
        <f>(Operations!H14*I36)*Operations!H15*Operations!H12</f>
        <v>0</v>
      </c>
      <c r="J39" s="75">
        <f>(Operations!H14*J36)*Operations!H15*Operations!H12</f>
        <v>0</v>
      </c>
      <c r="K39" s="75">
        <f>(Operations!H14*K36)*Operations!H15*Operations!H12</f>
        <v>0</v>
      </c>
      <c r="L39" s="75">
        <f>(Operations!H14*L36)*Operations!H15*Operations!H12</f>
        <v>0</v>
      </c>
      <c r="M39" s="75">
        <f>(Operations!H14*M36)*Operations!H15*Operations!H12</f>
        <v>0</v>
      </c>
    </row>
    <row r="40" spans="1:13" ht="12.75">
      <c r="A40" s="36" t="s">
        <v>109</v>
      </c>
      <c r="B40" s="75">
        <f>B43*Summary!B14</f>
        <v>0</v>
      </c>
      <c r="C40" s="75">
        <f>C43*Summary!B14</f>
        <v>0</v>
      </c>
      <c r="D40" s="75">
        <f>D43*Summary!B14</f>
        <v>0</v>
      </c>
      <c r="E40" s="75">
        <f>E43*Summary!B14</f>
        <v>0</v>
      </c>
      <c r="F40" s="75">
        <f>F43*Summary!B14</f>
        <v>0</v>
      </c>
      <c r="G40" s="75">
        <f>G43*Summary!B14</f>
        <v>0</v>
      </c>
      <c r="H40" s="75">
        <f>H43*Summary!B14</f>
        <v>0</v>
      </c>
      <c r="I40" s="75">
        <f>I43*Summary!B14</f>
        <v>0</v>
      </c>
      <c r="J40" s="75">
        <f>J43*Summary!B14</f>
        <v>0</v>
      </c>
      <c r="K40" s="75">
        <f>K43*Summary!B14</f>
        <v>0</v>
      </c>
      <c r="L40" s="75">
        <f>L43*Summary!B14</f>
        <v>0</v>
      </c>
      <c r="M40" s="75">
        <f>M43*Summary!B14</f>
        <v>0</v>
      </c>
    </row>
    <row r="41" spans="7:13" ht="12.75">
      <c r="G41" s="32"/>
      <c r="H41" s="32"/>
      <c r="I41" s="32"/>
      <c r="J41" s="32"/>
      <c r="K41" s="32"/>
      <c r="L41" s="32"/>
      <c r="M41" s="32"/>
    </row>
    <row r="42" spans="7:13" ht="12.75">
      <c r="G42" s="32"/>
      <c r="H42" s="32"/>
      <c r="I42" s="32"/>
      <c r="J42" s="32"/>
      <c r="K42" s="32"/>
      <c r="L42" s="32"/>
      <c r="M42" s="32"/>
    </row>
    <row r="43" spans="1:13" ht="12.75">
      <c r="A43" t="s">
        <v>110</v>
      </c>
      <c r="B43" s="32">
        <f>B39/(1-Summary!B14)</f>
        <v>0</v>
      </c>
      <c r="C43" s="32">
        <f>C39/(1-Summary!B14)</f>
        <v>0</v>
      </c>
      <c r="D43" s="32">
        <f>D39/(1-Summary!B14)</f>
        <v>0</v>
      </c>
      <c r="E43" s="32">
        <f>E39/(1-Summary!B14)</f>
        <v>0</v>
      </c>
      <c r="F43" s="32">
        <f>F39/(1-Summary!B14)</f>
        <v>0</v>
      </c>
      <c r="G43" s="32">
        <f>G39/(1-Summary!B14)</f>
        <v>0</v>
      </c>
      <c r="H43" s="32">
        <f>H39/(1-Summary!B14)</f>
        <v>0</v>
      </c>
      <c r="I43" s="32">
        <f>I39/(1-Summary!B14)</f>
        <v>0</v>
      </c>
      <c r="J43" s="32">
        <f>J39/(1-Summary!B14)</f>
        <v>0</v>
      </c>
      <c r="K43" s="32">
        <f>K39/(1-Summary!B14)</f>
        <v>0</v>
      </c>
      <c r="L43" s="32">
        <f>L39/(1-Summary!B14)</f>
        <v>0</v>
      </c>
      <c r="M43" s="32">
        <f>M39/(1-Summary!B14)</f>
        <v>0</v>
      </c>
    </row>
    <row r="44" spans="1:13" ht="12.75">
      <c r="A44" s="43"/>
      <c r="B44" s="43"/>
      <c r="C44" s="43"/>
      <c r="D44" s="43"/>
      <c r="E44" s="43"/>
      <c r="F44" s="43"/>
      <c r="G44" s="89"/>
      <c r="H44" s="89"/>
      <c r="I44" s="89"/>
      <c r="J44" s="89"/>
      <c r="K44" s="89"/>
      <c r="L44" s="89"/>
      <c r="M44" s="89"/>
    </row>
    <row r="45" spans="1:13" ht="12.75">
      <c r="A45" s="78" t="s">
        <v>111</v>
      </c>
      <c r="B45" s="90">
        <f>B40/2</f>
        <v>0</v>
      </c>
      <c r="C45" s="90">
        <f>C40/2</f>
        <v>0</v>
      </c>
      <c r="D45" s="90">
        <f>D40/2</f>
        <v>0</v>
      </c>
      <c r="E45" s="90">
        <f>E40/2</f>
        <v>0</v>
      </c>
      <c r="F45" s="90">
        <f>F40/2</f>
        <v>0</v>
      </c>
      <c r="G45" s="90">
        <f>G40/2</f>
        <v>0</v>
      </c>
      <c r="H45" s="90">
        <f>H40/2</f>
        <v>0</v>
      </c>
      <c r="I45" s="90">
        <f>I40/2</f>
        <v>0</v>
      </c>
      <c r="J45" s="90">
        <f>J40/2</f>
        <v>0</v>
      </c>
      <c r="K45" s="90">
        <f>K40/2</f>
        <v>0</v>
      </c>
      <c r="L45" s="90">
        <f>L40/2</f>
        <v>0</v>
      </c>
      <c r="M45" s="90">
        <f>M40/2</f>
        <v>0</v>
      </c>
    </row>
    <row r="46" spans="1:13" ht="12.75">
      <c r="A46" s="29" t="s">
        <v>61</v>
      </c>
      <c r="B46" s="91">
        <f>Operations!B29+(B40/2)</f>
        <v>1300</v>
      </c>
      <c r="C46" s="91">
        <f>Operations!B29+(C40/2)</f>
        <v>1300</v>
      </c>
      <c r="D46" s="91">
        <f>Operations!B29+(D40/2)</f>
        <v>1300</v>
      </c>
      <c r="E46" s="91">
        <f>Operations!B29+(E40/2)</f>
        <v>1300</v>
      </c>
      <c r="F46" s="91">
        <f>Operations!B29+(F40/2)</f>
        <v>1300</v>
      </c>
      <c r="G46" s="91">
        <f>Operations!B29+(G40/2)</f>
        <v>1300</v>
      </c>
      <c r="H46" s="91">
        <f>Operations!B29+(H40/2)</f>
        <v>1300</v>
      </c>
      <c r="I46" s="91">
        <f>Operations!B29+(I40/2)</f>
        <v>1300</v>
      </c>
      <c r="J46" s="91">
        <f>Operations!B29+(J40/2)</f>
        <v>1300</v>
      </c>
      <c r="K46" s="91">
        <f>Operations!B29+(K40/2)</f>
        <v>1300</v>
      </c>
      <c r="L46" s="91">
        <f>Operations!B29+(L40/2)</f>
        <v>1300</v>
      </c>
      <c r="M46" s="91">
        <f>Operations!B29+(M40/2)</f>
        <v>1300</v>
      </c>
    </row>
    <row r="47" spans="1:13" ht="12.75">
      <c r="A47" s="92"/>
      <c r="B47" s="92"/>
      <c r="C47" s="92"/>
      <c r="D47" s="92"/>
      <c r="E47" s="92"/>
      <c r="F47" s="92"/>
      <c r="G47" s="93"/>
      <c r="H47" s="93"/>
      <c r="I47" s="93"/>
      <c r="J47" s="93"/>
      <c r="K47" s="93"/>
      <c r="L47" s="93"/>
      <c r="M47" s="93"/>
    </row>
    <row r="48" spans="1:13" ht="12.75">
      <c r="A48" s="94" t="s">
        <v>112</v>
      </c>
      <c r="B48" s="95">
        <f>B43-B46-B45</f>
        <v>-1300</v>
      </c>
      <c r="C48" s="95">
        <f>C43-C46-C45</f>
        <v>-1300</v>
      </c>
      <c r="D48" s="95">
        <f>D43-D46-D45</f>
        <v>-1300</v>
      </c>
      <c r="E48" s="95">
        <f>E43-E46-E45</f>
        <v>-1300</v>
      </c>
      <c r="F48" s="95">
        <f>F43-F46-F45</f>
        <v>-1300</v>
      </c>
      <c r="G48" s="95">
        <f>G43-G46-G45</f>
        <v>-1300</v>
      </c>
      <c r="H48" s="95">
        <f>H43-H46-H45</f>
        <v>-1300</v>
      </c>
      <c r="I48" s="95">
        <f>I43-I46-I45</f>
        <v>-1300</v>
      </c>
      <c r="J48" s="95">
        <f>J43-J46-J45</f>
        <v>-1300</v>
      </c>
      <c r="K48" s="95">
        <f>K43-K46-K45</f>
        <v>-1300</v>
      </c>
      <c r="L48" s="95">
        <f>L43-L46-L45</f>
        <v>-1300</v>
      </c>
      <c r="M48" s="95">
        <f>M43-M46-M45</f>
        <v>-1300</v>
      </c>
    </row>
  </sheetData>
  <hyperlinks>
    <hyperlink ref="D1" r:id="rId1" display="http://www.ILANCA.org"/>
  </hyperlink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legacyDrawing r:id="rId3"/>
</worksheet>
</file>

<file path=xl/worksheets/sheet4.xml><?xml version="1.0" encoding="utf-8"?>
<worksheet xmlns="http://schemas.openxmlformats.org/spreadsheetml/2006/main" xmlns:r="http://schemas.openxmlformats.org/officeDocument/2006/relationships">
  <dimension ref="A1:L183"/>
  <sheetViews>
    <sheetView zoomScale="93" zoomScaleNormal="93" workbookViewId="0" topLeftCell="A1">
      <selection activeCell="B2" sqref="B2"/>
    </sheetView>
  </sheetViews>
  <sheetFormatPr defaultColWidth="12.57421875" defaultRowHeight="12.75"/>
  <cols>
    <col min="1" max="1" width="38.7109375" style="0" customWidth="1"/>
    <col min="2" max="2" width="13.28125" style="0" customWidth="1"/>
    <col min="3" max="3" width="11.57421875" style="0" customWidth="1"/>
    <col min="4" max="4" width="14.00390625" style="0" customWidth="1"/>
    <col min="5" max="5" width="11.28125" style="0" customWidth="1"/>
    <col min="6" max="6" width="8.28125" style="78" customWidth="1"/>
    <col min="7" max="7" width="29.421875" style="0" customWidth="1"/>
    <col min="8" max="8" width="11.57421875" style="0" customWidth="1"/>
    <col min="9" max="9" width="10.421875" style="0" customWidth="1"/>
    <col min="10" max="10" width="13.421875" style="0" customWidth="1"/>
    <col min="11" max="16384" width="11.57421875" style="0" customWidth="1"/>
  </cols>
  <sheetData>
    <row r="1" spans="1:2" ht="17.25">
      <c r="A1" s="44"/>
      <c r="B1" s="45" t="s">
        <v>1</v>
      </c>
    </row>
    <row r="3" spans="1:11" ht="17.25">
      <c r="A3" s="96" t="s">
        <v>113</v>
      </c>
      <c r="B3" s="97">
        <f>B8+B5</f>
        <v>66140</v>
      </c>
      <c r="C3" s="98"/>
      <c r="D3" s="98"/>
      <c r="E3" s="98"/>
      <c r="F3" s="98"/>
      <c r="G3" s="99" t="s">
        <v>114</v>
      </c>
      <c r="H3" s="100"/>
      <c r="I3" s="101" t="s">
        <v>115</v>
      </c>
      <c r="J3" s="102">
        <f>SUM(J6:J19)</f>
        <v>19100</v>
      </c>
      <c r="K3" s="100"/>
    </row>
    <row r="4" spans="1:6" s="103" customFormat="1" ht="15">
      <c r="A4"/>
      <c r="B4"/>
      <c r="F4" s="104"/>
    </row>
    <row r="5" spans="1:11" s="103" customFormat="1" ht="15">
      <c r="A5" s="53" t="s">
        <v>116</v>
      </c>
      <c r="B5" s="32">
        <f>(SUM(Operations!B46:M46))</f>
        <v>15600</v>
      </c>
      <c r="F5" s="104"/>
      <c r="G5" s="84" t="s">
        <v>117</v>
      </c>
      <c r="H5" s="84" t="s">
        <v>118</v>
      </c>
      <c r="I5" s="84" t="s">
        <v>119</v>
      </c>
      <c r="J5" s="84" t="s">
        <v>120</v>
      </c>
      <c r="K5" s="100"/>
    </row>
    <row r="6" spans="1:11" s="103" customFormat="1" ht="15">
      <c r="A6"/>
      <c r="B6"/>
      <c r="F6" s="104"/>
      <c r="G6" t="s">
        <v>121</v>
      </c>
      <c r="H6" s="105">
        <f>Operations!H19</f>
        <v>0</v>
      </c>
      <c r="I6" s="32">
        <v>100</v>
      </c>
      <c r="J6" s="32">
        <f>H6*I6</f>
        <v>0</v>
      </c>
      <c r="K6" s="4"/>
    </row>
    <row r="7" spans="1:11" s="103" customFormat="1" ht="15">
      <c r="A7"/>
      <c r="B7"/>
      <c r="F7" s="104"/>
      <c r="G7" t="s">
        <v>122</v>
      </c>
      <c r="H7">
        <v>1</v>
      </c>
      <c r="I7" s="32">
        <v>200</v>
      </c>
      <c r="J7" s="32">
        <f>H7*I7</f>
        <v>200</v>
      </c>
      <c r="K7" s="4"/>
    </row>
    <row r="8" spans="1:11" s="103" customFormat="1" ht="17.25">
      <c r="A8" s="106" t="s">
        <v>123</v>
      </c>
      <c r="B8" s="107">
        <f>SUM(B10:B20)</f>
        <v>50540</v>
      </c>
      <c r="F8" s="104"/>
      <c r="G8" t="s">
        <v>124</v>
      </c>
      <c r="H8">
        <v>1</v>
      </c>
      <c r="I8" s="32">
        <v>200</v>
      </c>
      <c r="J8" s="32">
        <f>H8*I8</f>
        <v>200</v>
      </c>
      <c r="K8" s="4"/>
    </row>
    <row r="9" spans="2:11" s="103" customFormat="1" ht="15">
      <c r="B9" s="108"/>
      <c r="F9" s="104"/>
      <c r="G9" t="s">
        <v>125</v>
      </c>
      <c r="H9">
        <v>1</v>
      </c>
      <c r="I9" s="32">
        <v>300</v>
      </c>
      <c r="J9" s="32">
        <f>H9*I9</f>
        <v>300</v>
      </c>
      <c r="K9" s="4"/>
    </row>
    <row r="10" spans="1:11" s="103" customFormat="1" ht="15">
      <c r="A10" s="109" t="s">
        <v>126</v>
      </c>
      <c r="B10" s="110">
        <f>D21</f>
        <v>1700</v>
      </c>
      <c r="F10" s="104"/>
      <c r="G10" t="s">
        <v>127</v>
      </c>
      <c r="H10">
        <v>2</v>
      </c>
      <c r="I10" s="32">
        <v>50</v>
      </c>
      <c r="J10" s="32">
        <f>H10*I10</f>
        <v>100</v>
      </c>
      <c r="K10" s="4"/>
    </row>
    <row r="11" spans="1:11" s="103" customFormat="1" ht="15">
      <c r="A11" s="109" t="s">
        <v>128</v>
      </c>
      <c r="B11" s="110">
        <f>J21</f>
        <v>0</v>
      </c>
      <c r="C11"/>
      <c r="D11"/>
      <c r="E11"/>
      <c r="F11" s="78"/>
      <c r="G11" t="s">
        <v>129</v>
      </c>
      <c r="H11">
        <v>3</v>
      </c>
      <c r="I11" s="32">
        <v>100</v>
      </c>
      <c r="J11" s="32">
        <f>H11*I11</f>
        <v>300</v>
      </c>
      <c r="K11" s="4"/>
    </row>
    <row r="12" spans="1:11" ht="15">
      <c r="A12" s="109" t="s">
        <v>130</v>
      </c>
      <c r="B12" s="110">
        <f>D29</f>
        <v>0</v>
      </c>
      <c r="G12" s="4" t="s">
        <v>131</v>
      </c>
      <c r="H12" s="4">
        <v>1</v>
      </c>
      <c r="I12" s="111">
        <v>5000</v>
      </c>
      <c r="J12" s="32">
        <f>H12*I12</f>
        <v>5000</v>
      </c>
      <c r="K12" s="4"/>
    </row>
    <row r="13" spans="1:11" ht="15">
      <c r="A13" s="109" t="s">
        <v>132</v>
      </c>
      <c r="B13" s="110">
        <f>J29</f>
        <v>0</v>
      </c>
      <c r="E13" s="112"/>
      <c r="G13" s="4" t="s">
        <v>133</v>
      </c>
      <c r="H13" s="4">
        <v>1</v>
      </c>
      <c r="I13" s="111">
        <v>500</v>
      </c>
      <c r="J13" s="32">
        <f>H13*I13</f>
        <v>500</v>
      </c>
      <c r="K13" s="4"/>
    </row>
    <row r="14" spans="1:11" ht="15">
      <c r="A14" s="109" t="s">
        <v>134</v>
      </c>
      <c r="B14" s="110">
        <f>D47</f>
        <v>3240</v>
      </c>
      <c r="E14" s="32"/>
      <c r="G14" s="4" t="s">
        <v>135</v>
      </c>
      <c r="H14" s="4">
        <v>1</v>
      </c>
      <c r="I14" s="111">
        <v>2000</v>
      </c>
      <c r="J14" s="32">
        <f>H14*I14</f>
        <v>2000</v>
      </c>
      <c r="K14" s="4"/>
    </row>
    <row r="15" spans="1:11" ht="15">
      <c r="A15" s="109" t="s">
        <v>136</v>
      </c>
      <c r="B15" s="110">
        <f>J47</f>
        <v>1500</v>
      </c>
      <c r="E15" s="32"/>
      <c r="G15" s="4" t="s">
        <v>137</v>
      </c>
      <c r="H15" s="4">
        <v>1</v>
      </c>
      <c r="I15" s="111">
        <v>5000</v>
      </c>
      <c r="J15" s="32">
        <f>H15*I15</f>
        <v>5000</v>
      </c>
      <c r="K15" s="4"/>
    </row>
    <row r="16" spans="1:11" ht="15">
      <c r="A16" s="109" t="s">
        <v>138</v>
      </c>
      <c r="B16" s="110">
        <f>J3</f>
        <v>19100</v>
      </c>
      <c r="E16" s="32"/>
      <c r="G16" t="s">
        <v>139</v>
      </c>
      <c r="H16" s="4">
        <v>1</v>
      </c>
      <c r="I16" s="111">
        <v>5000</v>
      </c>
      <c r="J16" s="32">
        <f>H16*I16</f>
        <v>5000</v>
      </c>
      <c r="K16" s="4"/>
    </row>
    <row r="17" spans="1:11" ht="15">
      <c r="A17" s="109" t="s">
        <v>140</v>
      </c>
      <c r="B17" s="110">
        <v>25000</v>
      </c>
      <c r="E17" s="32"/>
      <c r="G17" s="4" t="s">
        <v>141</v>
      </c>
      <c r="H17" s="4">
        <v>1</v>
      </c>
      <c r="I17" s="111">
        <v>500</v>
      </c>
      <c r="J17" s="32">
        <f>H17*I17</f>
        <v>500</v>
      </c>
      <c r="K17" s="4"/>
    </row>
    <row r="18" spans="1:11" ht="15">
      <c r="A18" s="109"/>
      <c r="B18" s="110"/>
      <c r="E18" s="32"/>
      <c r="G18" s="4"/>
      <c r="H18" s="4"/>
      <c r="I18" s="111"/>
      <c r="J18" s="32"/>
      <c r="K18" s="4"/>
    </row>
    <row r="19" spans="1:11" ht="15.75">
      <c r="A19" s="109"/>
      <c r="B19" s="110"/>
      <c r="E19" s="32"/>
      <c r="G19" s="4"/>
      <c r="H19" s="4"/>
      <c r="I19" s="111"/>
      <c r="J19" s="32"/>
      <c r="K19" s="4"/>
    </row>
    <row r="20" spans="5:11" ht="12.75">
      <c r="E20" s="32"/>
      <c r="G20" s="4"/>
      <c r="H20" s="4"/>
      <c r="I20" s="4"/>
      <c r="J20" s="111"/>
      <c r="K20" s="4"/>
    </row>
    <row r="21" spans="1:11" ht="15.75">
      <c r="A21" s="10" t="s">
        <v>142</v>
      </c>
      <c r="B21" s="113"/>
      <c r="C21" s="114" t="s">
        <v>115</v>
      </c>
      <c r="D21" s="115">
        <f>SUM(E24:E27)</f>
        <v>1700</v>
      </c>
      <c r="E21" s="116"/>
      <c r="F21" s="113"/>
      <c r="G21" s="117" t="s">
        <v>143</v>
      </c>
      <c r="H21" s="118"/>
      <c r="I21" s="119" t="s">
        <v>115</v>
      </c>
      <c r="J21" s="120">
        <f>SUM(K24:K27)</f>
        <v>0</v>
      </c>
      <c r="K21" s="118"/>
    </row>
    <row r="22" spans="1:8" ht="12.75">
      <c r="A22" s="17" t="s">
        <v>144</v>
      </c>
      <c r="B22" s="105">
        <f>Operations!H19</f>
        <v>0</v>
      </c>
      <c r="D22" s="17" t="s">
        <v>145</v>
      </c>
      <c r="E22" s="32">
        <f>SUM(E24:E27)/SUM(C24:C27)</f>
        <v>850</v>
      </c>
      <c r="G22" s="17" t="s">
        <v>146</v>
      </c>
      <c r="H22" s="105">
        <f>Operations!H20</f>
        <v>0</v>
      </c>
    </row>
    <row r="23" spans="1:11" ht="12.75">
      <c r="A23" s="121" t="s">
        <v>117</v>
      </c>
      <c r="B23" s="122"/>
      <c r="C23" s="121" t="s">
        <v>118</v>
      </c>
      <c r="D23" s="121" t="s">
        <v>119</v>
      </c>
      <c r="E23" s="121" t="s">
        <v>120</v>
      </c>
      <c r="F23" s="122"/>
      <c r="G23" s="123" t="s">
        <v>117</v>
      </c>
      <c r="H23" s="123"/>
      <c r="I23" s="123" t="s">
        <v>118</v>
      </c>
      <c r="J23" s="123" t="s">
        <v>119</v>
      </c>
      <c r="K23" s="123" t="s">
        <v>120</v>
      </c>
    </row>
    <row r="24" spans="1:11" ht="12.75">
      <c r="A24" t="s">
        <v>147</v>
      </c>
      <c r="C24" s="105">
        <f>Summary!B7</f>
        <v>0</v>
      </c>
      <c r="D24" s="32">
        <v>1425</v>
      </c>
      <c r="E24" s="32">
        <f>D24*C24</f>
        <v>0</v>
      </c>
      <c r="G24" t="s">
        <v>148</v>
      </c>
      <c r="I24" s="105">
        <f>H22</f>
        <v>0</v>
      </c>
      <c r="J24" s="32">
        <v>350</v>
      </c>
      <c r="K24" s="32">
        <f>I24*J24</f>
        <v>0</v>
      </c>
    </row>
    <row r="25" spans="1:11" ht="12.75">
      <c r="A25" t="s">
        <v>149</v>
      </c>
      <c r="C25" s="105">
        <f>CEILING(Summary!B7/50,1)</f>
        <v>0</v>
      </c>
      <c r="D25" s="32">
        <v>2500</v>
      </c>
      <c r="E25" s="32">
        <f>D25*C25</f>
        <v>0</v>
      </c>
      <c r="G25" t="s">
        <v>150</v>
      </c>
      <c r="I25" s="105">
        <f>H22*2</f>
        <v>0</v>
      </c>
      <c r="J25" s="32">
        <v>37</v>
      </c>
      <c r="K25" s="32">
        <f>I25*J25</f>
        <v>0</v>
      </c>
    </row>
    <row r="26" spans="1:11" ht="12.75">
      <c r="A26" t="s">
        <v>151</v>
      </c>
      <c r="C26" s="105">
        <v>1</v>
      </c>
      <c r="D26" s="32">
        <v>1000</v>
      </c>
      <c r="E26" s="32">
        <f>D26*C26</f>
        <v>1000</v>
      </c>
      <c r="G26" t="s">
        <v>152</v>
      </c>
      <c r="I26" s="105">
        <f>H22</f>
        <v>0</v>
      </c>
      <c r="J26" s="32">
        <v>32</v>
      </c>
      <c r="K26" s="32">
        <f>I26*J26</f>
        <v>0</v>
      </c>
    </row>
    <row r="27" spans="1:11" ht="12.75">
      <c r="A27" t="s">
        <v>153</v>
      </c>
      <c r="C27" s="105">
        <v>1</v>
      </c>
      <c r="D27" s="32">
        <v>700</v>
      </c>
      <c r="E27" s="32">
        <f>D27*C27</f>
        <v>700</v>
      </c>
      <c r="G27" t="s">
        <v>154</v>
      </c>
      <c r="I27" s="105">
        <f>H22</f>
        <v>0</v>
      </c>
      <c r="J27" s="32">
        <v>600</v>
      </c>
      <c r="K27" s="32">
        <f>I27*J27</f>
        <v>0</v>
      </c>
    </row>
    <row r="28" spans="2:10" ht="12.75">
      <c r="B28" s="105"/>
      <c r="C28" s="32"/>
      <c r="D28" s="32"/>
      <c r="I28" s="32"/>
      <c r="J28" s="32"/>
    </row>
    <row r="29" spans="1:11" ht="15">
      <c r="A29" s="10" t="s">
        <v>155</v>
      </c>
      <c r="B29" s="10"/>
      <c r="C29" s="114" t="s">
        <v>115</v>
      </c>
      <c r="D29" s="115">
        <f>SUM(E32:E45)</f>
        <v>0</v>
      </c>
      <c r="E29" s="10"/>
      <c r="F29" s="10"/>
      <c r="G29" s="124" t="s">
        <v>156</v>
      </c>
      <c r="H29" s="124"/>
      <c r="I29" s="125" t="s">
        <v>115</v>
      </c>
      <c r="J29" s="126">
        <f>SUM(K32:K38)</f>
        <v>0</v>
      </c>
      <c r="K29" s="124"/>
    </row>
    <row r="30" spans="1:8" ht="12.75">
      <c r="A30" s="17" t="s">
        <v>144</v>
      </c>
      <c r="B30" s="105">
        <f>Operations!H19</f>
        <v>0</v>
      </c>
      <c r="G30" s="17" t="s">
        <v>146</v>
      </c>
      <c r="H30" s="105">
        <f>Operations!H20</f>
        <v>0</v>
      </c>
    </row>
    <row r="31" spans="1:11" ht="12.75">
      <c r="A31" s="121" t="s">
        <v>117</v>
      </c>
      <c r="B31" s="121" t="s">
        <v>157</v>
      </c>
      <c r="C31" s="121" t="s">
        <v>118</v>
      </c>
      <c r="D31" s="121" t="s">
        <v>119</v>
      </c>
      <c r="E31" s="121" t="s">
        <v>120</v>
      </c>
      <c r="F31" s="122"/>
      <c r="G31" s="127" t="s">
        <v>117</v>
      </c>
      <c r="H31" s="127" t="s">
        <v>158</v>
      </c>
      <c r="I31" s="127" t="s">
        <v>118</v>
      </c>
      <c r="J31" s="127" t="s">
        <v>119</v>
      </c>
      <c r="K31" s="127" t="s">
        <v>120</v>
      </c>
    </row>
    <row r="32" spans="1:11" ht="12.75">
      <c r="A32" t="s">
        <v>159</v>
      </c>
      <c r="B32" s="54">
        <v>1</v>
      </c>
      <c r="C32" s="105">
        <f>B30*B32</f>
        <v>0</v>
      </c>
      <c r="D32" s="32">
        <v>0</v>
      </c>
      <c r="E32" s="32">
        <f>C32*D32</f>
        <v>0</v>
      </c>
      <c r="G32" t="s">
        <v>160</v>
      </c>
      <c r="H32" s="54">
        <v>0.5</v>
      </c>
      <c r="I32" s="105">
        <f>H30*H32</f>
        <v>0</v>
      </c>
      <c r="J32" s="32">
        <v>50</v>
      </c>
      <c r="K32" s="32">
        <f>I32*J32</f>
        <v>0</v>
      </c>
    </row>
    <row r="33" spans="1:11" ht="12.75">
      <c r="A33" t="s">
        <v>161</v>
      </c>
      <c r="B33" s="54">
        <v>0.5</v>
      </c>
      <c r="C33" s="105">
        <f>B30*B33</f>
        <v>0</v>
      </c>
      <c r="D33" s="32">
        <v>30</v>
      </c>
      <c r="E33" s="32">
        <f>C33*D33</f>
        <v>0</v>
      </c>
      <c r="G33" t="s">
        <v>162</v>
      </c>
      <c r="H33" s="54">
        <v>0.2</v>
      </c>
      <c r="I33" s="105">
        <f>H30*H33</f>
        <v>0</v>
      </c>
      <c r="J33" s="32">
        <v>40</v>
      </c>
      <c r="K33" s="32">
        <f>I33*J33</f>
        <v>0</v>
      </c>
    </row>
    <row r="34" spans="1:11" ht="12.75">
      <c r="A34" t="s">
        <v>163</v>
      </c>
      <c r="B34" s="54">
        <v>0.3</v>
      </c>
      <c r="C34" s="105">
        <f>B30*B34</f>
        <v>0</v>
      </c>
      <c r="D34" s="32">
        <v>40</v>
      </c>
      <c r="E34" s="32">
        <f>C34*D34</f>
        <v>0</v>
      </c>
      <c r="G34" t="s">
        <v>164</v>
      </c>
      <c r="H34" s="54">
        <v>0.5</v>
      </c>
      <c r="I34" s="105">
        <f>H30*H34</f>
        <v>0</v>
      </c>
      <c r="J34" s="32">
        <v>59</v>
      </c>
      <c r="K34" s="32">
        <f>I34*J34</f>
        <v>0</v>
      </c>
    </row>
    <row r="35" spans="1:11" ht="12.75">
      <c r="A35" t="s">
        <v>165</v>
      </c>
      <c r="B35" s="54">
        <v>0.2</v>
      </c>
      <c r="C35" s="105">
        <f>B30*B35</f>
        <v>0</v>
      </c>
      <c r="D35" s="32">
        <v>10</v>
      </c>
      <c r="E35" s="32">
        <f>C35*D35</f>
        <v>0</v>
      </c>
      <c r="G35" t="s">
        <v>166</v>
      </c>
      <c r="H35" s="54">
        <v>0.1</v>
      </c>
      <c r="I35" s="105">
        <f>H30*H35</f>
        <v>0</v>
      </c>
      <c r="J35" s="32">
        <v>50</v>
      </c>
      <c r="K35" s="32">
        <f>I35*J35</f>
        <v>0</v>
      </c>
    </row>
    <row r="36" spans="1:11" ht="12.75">
      <c r="A36" t="s">
        <v>167</v>
      </c>
      <c r="B36" s="54">
        <v>0.1</v>
      </c>
      <c r="C36" s="105">
        <f>B30*B36</f>
        <v>0</v>
      </c>
      <c r="D36" s="32">
        <v>20</v>
      </c>
      <c r="E36" s="32">
        <f>C36*D36</f>
        <v>0</v>
      </c>
      <c r="G36" t="s">
        <v>168</v>
      </c>
      <c r="H36" s="54">
        <v>0.5</v>
      </c>
      <c r="I36" s="105">
        <f>H30*H36</f>
        <v>0</v>
      </c>
      <c r="J36" s="32">
        <v>40</v>
      </c>
      <c r="K36" s="32">
        <f>I36*J36</f>
        <v>0</v>
      </c>
    </row>
    <row r="37" spans="1:11" ht="12.75">
      <c r="A37" t="s">
        <v>169</v>
      </c>
      <c r="B37" s="54">
        <v>0.3</v>
      </c>
      <c r="C37" s="105">
        <f>B30*B37</f>
        <v>0</v>
      </c>
      <c r="D37" s="32">
        <v>35</v>
      </c>
      <c r="E37" s="32">
        <f>C37*D37</f>
        <v>0</v>
      </c>
      <c r="G37" t="s">
        <v>170</v>
      </c>
      <c r="H37" s="54">
        <v>0.1</v>
      </c>
      <c r="I37" s="105">
        <f>H30*H37</f>
        <v>0</v>
      </c>
      <c r="J37" s="32">
        <v>199</v>
      </c>
      <c r="K37" s="32">
        <f>I37*J37</f>
        <v>0</v>
      </c>
    </row>
    <row r="38" spans="1:11" ht="12.75">
      <c r="A38" t="s">
        <v>171</v>
      </c>
      <c r="B38" s="54">
        <v>0.2</v>
      </c>
      <c r="C38" s="105">
        <f>B30*B38</f>
        <v>0</v>
      </c>
      <c r="D38" s="32">
        <v>15</v>
      </c>
      <c r="E38" s="32">
        <f>C38*D38</f>
        <v>0</v>
      </c>
      <c r="G38" t="s">
        <v>172</v>
      </c>
      <c r="H38" s="54">
        <v>0.2</v>
      </c>
      <c r="I38" s="105">
        <f>H30*H38</f>
        <v>0</v>
      </c>
      <c r="J38" s="32">
        <v>59</v>
      </c>
      <c r="K38" s="32">
        <f>I38*J38</f>
        <v>0</v>
      </c>
    </row>
    <row r="39" spans="1:11" ht="12.75">
      <c r="A39" t="s">
        <v>173</v>
      </c>
      <c r="B39" s="54">
        <v>0.2</v>
      </c>
      <c r="C39" s="105">
        <f>B30*B39</f>
        <v>0</v>
      </c>
      <c r="D39" s="32">
        <v>40</v>
      </c>
      <c r="E39" s="32">
        <f>C39*D39</f>
        <v>0</v>
      </c>
      <c r="H39" s="54"/>
      <c r="I39" s="105">
        <f>H30*H39</f>
        <v>0</v>
      </c>
      <c r="J39" s="32"/>
      <c r="K39" s="32"/>
    </row>
    <row r="40" spans="1:9" ht="12.75">
      <c r="A40" t="s">
        <v>174</v>
      </c>
      <c r="B40" s="54">
        <v>0.6</v>
      </c>
      <c r="C40" s="105">
        <f>B30*B40</f>
        <v>0</v>
      </c>
      <c r="D40" s="32">
        <v>0</v>
      </c>
      <c r="E40" s="32">
        <f>C40*D40</f>
        <v>0</v>
      </c>
      <c r="I40" s="105">
        <f>H30*H40</f>
        <v>0</v>
      </c>
    </row>
    <row r="41" spans="1:9" ht="12.75">
      <c r="A41" t="s">
        <v>175</v>
      </c>
      <c r="B41" s="54">
        <v>1</v>
      </c>
      <c r="C41" s="105">
        <f>B30*B41</f>
        <v>0</v>
      </c>
      <c r="D41" s="32">
        <v>50</v>
      </c>
      <c r="E41" s="32">
        <f>C41*D41</f>
        <v>0</v>
      </c>
      <c r="I41" s="105">
        <f>H30*H41</f>
        <v>0</v>
      </c>
    </row>
    <row r="42" spans="1:11" ht="12.75">
      <c r="A42" t="s">
        <v>176</v>
      </c>
      <c r="B42" s="54">
        <v>1</v>
      </c>
      <c r="C42" s="105">
        <f>B30*B42</f>
        <v>0</v>
      </c>
      <c r="D42" s="32">
        <v>0</v>
      </c>
      <c r="E42" s="32">
        <f>C42*D42</f>
        <v>0</v>
      </c>
      <c r="H42" s="54"/>
      <c r="I42" s="105">
        <f>H30*H42</f>
        <v>0</v>
      </c>
      <c r="J42" s="32"/>
      <c r="K42" s="32"/>
    </row>
    <row r="43" spans="1:11" ht="12.75">
      <c r="A43" t="s">
        <v>177</v>
      </c>
      <c r="B43" s="54">
        <v>0.35</v>
      </c>
      <c r="C43" s="105">
        <f>B30*B43</f>
        <v>0</v>
      </c>
      <c r="D43" s="32">
        <v>50</v>
      </c>
      <c r="E43" s="32">
        <f>C43*D43</f>
        <v>0</v>
      </c>
      <c r="H43" s="54"/>
      <c r="I43" s="105">
        <f>H30*H43</f>
        <v>0</v>
      </c>
      <c r="J43" s="32"/>
      <c r="K43" s="32"/>
    </row>
    <row r="44" spans="1:10" ht="12.75">
      <c r="A44" t="s">
        <v>178</v>
      </c>
      <c r="B44" s="54">
        <v>0.2</v>
      </c>
      <c r="C44" s="105">
        <f>B30*B44</f>
        <v>0</v>
      </c>
      <c r="D44" s="32">
        <v>50</v>
      </c>
      <c r="E44" s="32">
        <f>C44*D44</f>
        <v>0</v>
      </c>
      <c r="H44" s="54"/>
      <c r="I44" s="105">
        <f>H30*H44</f>
        <v>0</v>
      </c>
      <c r="J44" s="32"/>
    </row>
    <row r="45" spans="1:10" ht="12.75">
      <c r="A45" t="s">
        <v>179</v>
      </c>
      <c r="B45" s="54">
        <v>0.15</v>
      </c>
      <c r="C45" s="105">
        <f>B30*B45</f>
        <v>0</v>
      </c>
      <c r="D45" s="32">
        <v>40</v>
      </c>
      <c r="E45" s="32">
        <f>C45*D45</f>
        <v>0</v>
      </c>
      <c r="H45" s="54"/>
      <c r="I45" s="105">
        <f>H30*H45</f>
        <v>0</v>
      </c>
      <c r="J45" s="32"/>
    </row>
    <row r="46" spans="2:10" ht="12.75">
      <c r="B46" s="54"/>
      <c r="D46" s="32"/>
      <c r="E46" s="32"/>
      <c r="H46" s="54"/>
      <c r="I46" s="105">
        <f>H44*H46</f>
        <v>0</v>
      </c>
      <c r="J46" s="32"/>
    </row>
    <row r="47" spans="1:11" ht="15.75">
      <c r="A47" s="128" t="s">
        <v>180</v>
      </c>
      <c r="B47" s="129"/>
      <c r="C47" s="130" t="s">
        <v>115</v>
      </c>
      <c r="D47" s="131">
        <f>SUM(E50:E55)</f>
        <v>3240</v>
      </c>
      <c r="E47" s="129"/>
      <c r="F47" s="132"/>
      <c r="G47" s="133" t="s">
        <v>136</v>
      </c>
      <c r="H47" s="134"/>
      <c r="I47" s="135" t="s">
        <v>115</v>
      </c>
      <c r="J47" s="136">
        <f>SUM(K50:K53)</f>
        <v>1500</v>
      </c>
      <c r="K47" s="134"/>
    </row>
    <row r="48" ht="12.75"/>
    <row r="49" spans="1:11" ht="12.75">
      <c r="A49" s="137" t="s">
        <v>117</v>
      </c>
      <c r="B49" s="132"/>
      <c r="C49" s="137" t="s">
        <v>118</v>
      </c>
      <c r="D49" s="137" t="s">
        <v>119</v>
      </c>
      <c r="E49" s="137" t="s">
        <v>120</v>
      </c>
      <c r="F49" s="132"/>
      <c r="G49" s="138" t="s">
        <v>117</v>
      </c>
      <c r="H49" s="134"/>
      <c r="I49" s="138" t="s">
        <v>118</v>
      </c>
      <c r="J49" s="138" t="s">
        <v>119</v>
      </c>
      <c r="K49" s="138" t="s">
        <v>120</v>
      </c>
    </row>
    <row r="50" spans="1:11" ht="12.75">
      <c r="A50" t="s">
        <v>181</v>
      </c>
      <c r="C50" s="105">
        <v>1</v>
      </c>
      <c r="D50" s="32">
        <v>700</v>
      </c>
      <c r="E50" s="32">
        <f>D50*C50</f>
        <v>700</v>
      </c>
      <c r="G50" t="s">
        <v>182</v>
      </c>
      <c r="I50" s="105">
        <f>Operations!H19</f>
        <v>0</v>
      </c>
      <c r="J50" s="32">
        <v>60</v>
      </c>
      <c r="K50" s="32">
        <f>J50*I50</f>
        <v>0</v>
      </c>
    </row>
    <row r="51" spans="1:11" ht="12.75">
      <c r="A51" t="s">
        <v>183</v>
      </c>
      <c r="C51" s="105">
        <v>110</v>
      </c>
      <c r="D51" s="32">
        <v>4</v>
      </c>
      <c r="E51" s="32">
        <f>D51*C51</f>
        <v>440</v>
      </c>
      <c r="G51" t="s">
        <v>184</v>
      </c>
      <c r="I51" s="105">
        <f>Operations!H20</f>
        <v>0</v>
      </c>
      <c r="J51" s="32">
        <v>60</v>
      </c>
      <c r="K51" s="32">
        <f>J51*I51</f>
        <v>0</v>
      </c>
    </row>
    <row r="52" spans="1:11" ht="12.75">
      <c r="A52" t="s">
        <v>185</v>
      </c>
      <c r="C52">
        <v>1</v>
      </c>
      <c r="D52" s="32">
        <v>500</v>
      </c>
      <c r="E52" s="32">
        <f>D52*C52</f>
        <v>500</v>
      </c>
      <c r="G52" t="s">
        <v>186</v>
      </c>
      <c r="I52">
        <v>1</v>
      </c>
      <c r="J52" s="32">
        <v>500</v>
      </c>
      <c r="K52" s="32">
        <f>J52*I52</f>
        <v>500</v>
      </c>
    </row>
    <row r="53" spans="1:12" s="103" customFormat="1" ht="15">
      <c r="A53" t="s">
        <v>187</v>
      </c>
      <c r="C53" s="105">
        <v>3</v>
      </c>
      <c r="D53" s="32">
        <v>250</v>
      </c>
      <c r="E53" s="32">
        <f>D53*C53</f>
        <v>750</v>
      </c>
      <c r="F53" s="78"/>
      <c r="G53" t="s">
        <v>188</v>
      </c>
      <c r="I53">
        <v>2</v>
      </c>
      <c r="J53" s="32">
        <v>500</v>
      </c>
      <c r="K53" s="32">
        <f>J53*I53</f>
        <v>1000</v>
      </c>
      <c r="L53" s="104"/>
    </row>
    <row r="54" spans="1:10" ht="12.75">
      <c r="A54" t="s">
        <v>189</v>
      </c>
      <c r="C54" s="105">
        <v>1</v>
      </c>
      <c r="D54" s="32">
        <v>500</v>
      </c>
      <c r="E54" s="32">
        <f>D54*C54</f>
        <v>500</v>
      </c>
      <c r="J54" s="32"/>
    </row>
    <row r="55" spans="1:10" ht="12.75">
      <c r="A55" t="s">
        <v>190</v>
      </c>
      <c r="C55" s="105">
        <v>1</v>
      </c>
      <c r="D55" s="32">
        <v>350</v>
      </c>
      <c r="E55" s="32">
        <f>D55*C55</f>
        <v>350</v>
      </c>
      <c r="J55" s="32"/>
    </row>
    <row r="56" spans="2:10" ht="12.75">
      <c r="B56" s="54"/>
      <c r="D56" s="32"/>
      <c r="J56" s="32"/>
    </row>
    <row r="57" spans="2:10" ht="12.75">
      <c r="B57" s="54"/>
      <c r="D57" s="32"/>
      <c r="E57" s="32"/>
      <c r="J57" s="32"/>
    </row>
    <row r="58" spans="2:5" ht="12.75">
      <c r="B58" s="54"/>
      <c r="D58" s="32"/>
      <c r="E58" s="32"/>
    </row>
    <row r="59" spans="2:5" ht="12.75">
      <c r="B59" s="54"/>
      <c r="D59" s="32"/>
      <c r="E59" s="32"/>
    </row>
    <row r="60" spans="2:5" ht="12.75">
      <c r="B60" s="54"/>
      <c r="D60" s="32"/>
      <c r="E60" s="32"/>
    </row>
    <row r="61" spans="2:5" ht="12.75">
      <c r="B61" s="54"/>
      <c r="D61" s="32"/>
      <c r="E61" s="32"/>
    </row>
    <row r="62" spans="2:5" ht="12.75">
      <c r="B62" s="54"/>
      <c r="D62" s="32"/>
      <c r="E62" s="32"/>
    </row>
    <row r="63" spans="2:5" ht="12.75">
      <c r="B63" s="54"/>
      <c r="D63" s="32"/>
      <c r="E63" s="32"/>
    </row>
    <row r="64" ht="12.75">
      <c r="E64" s="32"/>
    </row>
    <row r="65" ht="12.75">
      <c r="E65" s="32"/>
    </row>
    <row r="66" ht="12.75">
      <c r="E66" s="32"/>
    </row>
    <row r="86" spans="9:10" ht="12.75">
      <c r="I86" s="32"/>
      <c r="J86" s="32"/>
    </row>
    <row r="87" spans="9:10" ht="12.75">
      <c r="I87" s="32"/>
      <c r="J87" s="32"/>
    </row>
    <row r="88" spans="9:10" ht="12.75">
      <c r="I88" s="32"/>
      <c r="J88" s="32"/>
    </row>
    <row r="89" spans="9:10" ht="12.75">
      <c r="I89" s="32"/>
      <c r="J89" s="32"/>
    </row>
    <row r="92" spans="4:11" ht="15">
      <c r="D92" s="32"/>
      <c r="G92" s="35"/>
      <c r="H92" s="35"/>
      <c r="I92" s="35"/>
      <c r="J92" s="35"/>
      <c r="K92" s="35"/>
    </row>
    <row r="93" spans="3:4" ht="12.75">
      <c r="C93" s="32"/>
      <c r="D93" s="32"/>
    </row>
    <row r="94" ht="12.75">
      <c r="D94" s="32"/>
    </row>
    <row r="95" spans="3:4" ht="12.75">
      <c r="C95" s="32"/>
      <c r="D95" s="32"/>
    </row>
    <row r="98" spans="1:4" ht="15">
      <c r="A98" s="35"/>
      <c r="B98" s="35"/>
      <c r="C98" s="35"/>
      <c r="D98" s="35"/>
    </row>
    <row r="100" spans="1:11" s="35" customFormat="1" ht="15">
      <c r="A100"/>
      <c r="B100"/>
      <c r="C100"/>
      <c r="D100"/>
      <c r="E100"/>
      <c r="G100"/>
      <c r="H100"/>
      <c r="I100"/>
      <c r="J100"/>
      <c r="K100"/>
    </row>
    <row r="101" ht="15">
      <c r="E101" s="35"/>
    </row>
    <row r="128" ht="12.75">
      <c r="J128" s="32"/>
    </row>
    <row r="129" ht="12.75">
      <c r="J129" s="32"/>
    </row>
    <row r="130" ht="12.75">
      <c r="J130" s="32"/>
    </row>
    <row r="131" ht="12.75">
      <c r="J131" s="32"/>
    </row>
    <row r="132" ht="12.75">
      <c r="J132" s="32"/>
    </row>
    <row r="133" ht="12.75">
      <c r="J133" s="32"/>
    </row>
    <row r="134" spans="2:10" ht="12.75">
      <c r="B134" s="54"/>
      <c r="D134" s="32"/>
      <c r="J134" s="32"/>
    </row>
    <row r="135" spans="2:10" ht="12.75">
      <c r="B135" s="54"/>
      <c r="D135" s="32"/>
      <c r="J135" s="32"/>
    </row>
    <row r="136" spans="2:10" ht="12.75">
      <c r="B136" s="54"/>
      <c r="D136" s="32"/>
      <c r="J136" s="32"/>
    </row>
    <row r="137" spans="2:10" ht="12.75">
      <c r="B137" s="54"/>
      <c r="D137" s="32"/>
      <c r="E137" s="32"/>
      <c r="J137" s="32"/>
    </row>
    <row r="138" spans="2:10" ht="12.75">
      <c r="B138" s="54"/>
      <c r="D138" s="32"/>
      <c r="E138" s="32"/>
      <c r="J138" s="32"/>
    </row>
    <row r="139" spans="2:11" ht="15">
      <c r="B139" s="54"/>
      <c r="D139" s="32"/>
      <c r="E139" s="32"/>
      <c r="G139" s="103"/>
      <c r="H139" s="103"/>
      <c r="K139" s="103"/>
    </row>
    <row r="140" spans="2:5" ht="12.75">
      <c r="B140" s="54"/>
      <c r="D140" s="32"/>
      <c r="E140" s="32"/>
    </row>
    <row r="141" spans="2:5" ht="12.75">
      <c r="B141" s="54"/>
      <c r="D141" s="32"/>
      <c r="E141" s="32"/>
    </row>
    <row r="142" spans="2:5" ht="12.75">
      <c r="B142" s="54"/>
      <c r="D142" s="32"/>
      <c r="E142" s="32"/>
    </row>
    <row r="143" spans="2:5" ht="12.75">
      <c r="B143" s="54"/>
      <c r="D143" s="32"/>
      <c r="E143" s="32"/>
    </row>
    <row r="144" spans="2:5" ht="12.75">
      <c r="B144" s="54"/>
      <c r="D144" s="32"/>
      <c r="E144" s="32"/>
    </row>
    <row r="145" spans="1:5" ht="15">
      <c r="A145" s="103"/>
      <c r="B145" s="139"/>
      <c r="D145" s="32"/>
      <c r="E145" s="32"/>
    </row>
    <row r="146" ht="12.75">
      <c r="E146" s="32"/>
    </row>
    <row r="147" spans="5:10" ht="15">
      <c r="E147" s="32"/>
      <c r="F147" s="104"/>
      <c r="I147" s="32"/>
      <c r="J147" s="32"/>
    </row>
    <row r="148" spans="1:11" s="103" customFormat="1" ht="15">
      <c r="A148"/>
      <c r="B148"/>
      <c r="C148"/>
      <c r="D148"/>
      <c r="E148" s="140"/>
      <c r="G148"/>
      <c r="H148"/>
      <c r="I148" s="32"/>
      <c r="J148" s="32"/>
      <c r="K148"/>
    </row>
    <row r="149" spans="9:10" ht="12.75">
      <c r="I149" s="32"/>
      <c r="J149" s="32"/>
    </row>
    <row r="150" spans="9:12" ht="12.75">
      <c r="I150" s="32"/>
      <c r="J150" s="32"/>
      <c r="L150" s="78"/>
    </row>
    <row r="151" spans="9:10" ht="12.75">
      <c r="I151" s="32"/>
      <c r="J151" s="32"/>
    </row>
    <row r="152" spans="9:10" ht="12.75">
      <c r="I152" s="32"/>
      <c r="J152" s="32"/>
    </row>
    <row r="153" spans="9:10" ht="12.75">
      <c r="I153" s="32"/>
      <c r="J153" s="32"/>
    </row>
    <row r="154" spans="9:10" ht="12.75">
      <c r="I154" s="32"/>
      <c r="J154" s="32"/>
    </row>
    <row r="155" spans="9:10" ht="12.75">
      <c r="I155" s="32"/>
      <c r="J155" s="32"/>
    </row>
    <row r="156" spans="3:10" ht="12.75">
      <c r="C156" s="32"/>
      <c r="D156" s="32"/>
      <c r="I156" s="32"/>
      <c r="J156" s="32"/>
    </row>
    <row r="157" spans="3:10" ht="12.75">
      <c r="C157" s="32"/>
      <c r="D157" s="32"/>
      <c r="I157" s="32"/>
      <c r="J157" s="32"/>
    </row>
    <row r="158" spans="3:10" ht="12.75">
      <c r="C158" s="32"/>
      <c r="D158" s="32"/>
      <c r="I158" s="32"/>
      <c r="J158" s="32"/>
    </row>
    <row r="159" spans="3:10" ht="12.75">
      <c r="C159" s="32"/>
      <c r="D159" s="32"/>
      <c r="I159" s="32"/>
      <c r="J159" s="32"/>
    </row>
    <row r="160" spans="3:10" ht="12.75">
      <c r="C160" s="32"/>
      <c r="D160" s="32"/>
      <c r="I160" s="32"/>
      <c r="J160" s="32"/>
    </row>
    <row r="161" spans="3:10" ht="12.75">
      <c r="C161" s="32"/>
      <c r="D161" s="32"/>
      <c r="I161" s="32"/>
      <c r="J161" s="32"/>
    </row>
    <row r="162" spans="3:10" ht="12.75">
      <c r="C162" s="32"/>
      <c r="D162" s="32"/>
      <c r="I162" s="32"/>
      <c r="J162" s="32"/>
    </row>
    <row r="163" spans="3:10" ht="12.75">
      <c r="C163" s="32"/>
      <c r="D163" s="32"/>
      <c r="I163" s="32"/>
      <c r="J163" s="32"/>
    </row>
    <row r="164" spans="3:10" ht="12.75">
      <c r="C164" s="32"/>
      <c r="D164" s="32"/>
      <c r="I164" s="32"/>
      <c r="J164" s="32"/>
    </row>
    <row r="165" spans="3:10" ht="12.75">
      <c r="C165" s="32"/>
      <c r="D165" s="32"/>
      <c r="I165" s="32"/>
      <c r="J165" s="32"/>
    </row>
    <row r="166" spans="3:10" ht="12.75">
      <c r="C166" s="32"/>
      <c r="D166" s="32"/>
      <c r="I166" s="32"/>
      <c r="J166" s="32"/>
    </row>
    <row r="167" spans="3:10" ht="12.75">
      <c r="C167" s="32"/>
      <c r="D167" s="32"/>
      <c r="I167" s="32"/>
      <c r="J167" s="32"/>
    </row>
    <row r="168" spans="3:10" ht="12.75">
      <c r="C168" s="32"/>
      <c r="D168" s="32"/>
      <c r="I168" s="32"/>
      <c r="J168" s="32"/>
    </row>
    <row r="169" spans="3:10" ht="12.75">
      <c r="C169" s="32"/>
      <c r="D169" s="32"/>
      <c r="I169" s="32"/>
      <c r="J169" s="32"/>
    </row>
    <row r="170" spans="3:10" ht="12.75">
      <c r="C170" s="32"/>
      <c r="D170" s="32"/>
      <c r="I170" s="32"/>
      <c r="J170" s="32"/>
    </row>
    <row r="171" spans="3:10" ht="12.75">
      <c r="C171" s="32"/>
      <c r="D171" s="32"/>
      <c r="I171" s="32"/>
      <c r="J171" s="32"/>
    </row>
    <row r="172" spans="3:10" ht="12.75">
      <c r="C172" s="32"/>
      <c r="D172" s="32"/>
      <c r="I172" s="32"/>
      <c r="J172" s="32"/>
    </row>
    <row r="173" spans="3:10" ht="12.75">
      <c r="C173" s="32"/>
      <c r="D173" s="32"/>
      <c r="I173" s="32"/>
      <c r="J173" s="32"/>
    </row>
    <row r="174" spans="3:10" ht="12.75">
      <c r="C174" s="32"/>
      <c r="D174" s="32"/>
      <c r="I174" s="32"/>
      <c r="J174" s="32"/>
    </row>
    <row r="175" spans="3:10" ht="12.75">
      <c r="C175" s="32"/>
      <c r="D175" s="32"/>
      <c r="I175" s="32"/>
      <c r="J175" s="32"/>
    </row>
    <row r="176" spans="3:10" ht="12.75">
      <c r="C176" s="32"/>
      <c r="D176" s="32"/>
      <c r="I176" s="32"/>
      <c r="J176" s="32"/>
    </row>
    <row r="177" spans="3:10" ht="12.75">
      <c r="C177" s="32"/>
      <c r="D177" s="32"/>
      <c r="I177" s="32"/>
      <c r="J177" s="32"/>
    </row>
    <row r="178" spans="3:10" ht="12.75">
      <c r="C178" s="32"/>
      <c r="D178" s="32"/>
      <c r="I178" s="32"/>
      <c r="J178" s="32"/>
    </row>
    <row r="179" spans="3:10" ht="12.75">
      <c r="C179" s="32"/>
      <c r="D179" s="32"/>
      <c r="I179" s="32"/>
      <c r="J179" s="32"/>
    </row>
    <row r="180" spans="3:10" ht="12.75">
      <c r="C180" s="32"/>
      <c r="D180" s="32"/>
      <c r="I180" s="32"/>
      <c r="J180" s="32"/>
    </row>
    <row r="181" spans="3:10" ht="12.75">
      <c r="C181" s="32"/>
      <c r="D181" s="32"/>
      <c r="I181" s="32"/>
      <c r="J181" s="32"/>
    </row>
    <row r="182" spans="3:10" ht="12.75">
      <c r="C182" s="32"/>
      <c r="D182" s="32"/>
      <c r="I182" s="32"/>
      <c r="J182" s="32"/>
    </row>
    <row r="183" spans="3:10" ht="12.75">
      <c r="C183" s="32"/>
      <c r="D183" s="32"/>
      <c r="I183" s="32"/>
      <c r="J183" s="32"/>
    </row>
  </sheetData>
  <hyperlinks>
    <hyperlink ref="B1" r:id="rId1" display="http://www.ILANCA.org"/>
  </hyperlinks>
  <printOptions/>
  <pageMargins left="0.7875" right="0.7875" top="1.025" bottom="1.025" header="0.7875" footer="0.7875"/>
  <pageSetup horizontalDpi="300" verticalDpi="300" orientation="portrait"/>
  <headerFooter alignWithMargins="0">
    <oddHeader>&amp;C&amp;A</oddHeader>
    <oddFooter>&amp;CPage &amp;P</oddFooter>
  </headerFooter>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dc:creator>
  <cp:keywords/>
  <dc:description/>
  <cp:lastModifiedBy/>
  <dcterms:created xsi:type="dcterms:W3CDTF">2008-09-04T07:35:06Z</dcterms:created>
  <dcterms:modified xsi:type="dcterms:W3CDTF">2010-01-20T05:02:50Z</dcterms:modified>
  <cp:category/>
  <cp:version/>
  <cp:contentType/>
  <cp:contentStatus/>
  <cp:revision>7</cp:revision>
</cp:coreProperties>
</file>