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
  <bookViews>
    <workbookView xWindow="380" yWindow="560" windowWidth="25040" windowHeight="13680" tabRatio="629" activeTab="5"/>
  </bookViews>
  <sheets>
    <sheet name="Materials List" sheetId="1" r:id="rId1"/>
    <sheet name="Startup" sheetId="2" r:id="rId2"/>
    <sheet name="Financing" sheetId="3" r:id="rId3"/>
    <sheet name="Net Income" sheetId="4" r:id="rId4"/>
    <sheet name="Cashflow" sheetId="5" r:id="rId5"/>
    <sheet name="Balance sheet and Net worth" sheetId="6" r:id="rId6"/>
  </sheets>
  <definedNames/>
  <calcPr fullCalcOnLoad="1"/>
</workbook>
</file>

<file path=xl/sharedStrings.xml><?xml version="1.0" encoding="utf-8"?>
<sst xmlns="http://schemas.openxmlformats.org/spreadsheetml/2006/main" count="401" uniqueCount="320">
  <si>
    <t>November</t>
  </si>
  <si>
    <t>Surplus (Deficit)</t>
  </si>
  <si>
    <t>Closing cash balance</t>
  </si>
  <si>
    <t>Fixed Expenses</t>
  </si>
  <si>
    <t>Equip. Repairs/Maint.</t>
  </si>
  <si>
    <t>Total Fixed Costs/year</t>
  </si>
  <si>
    <t>Year 5</t>
  </si>
  <si>
    <t>Main Line (1.25")</t>
  </si>
  <si>
    <t xml:space="preserve">             BUSINESS CASH FLOW PROJECTION WORKSHEET</t>
  </si>
  <si>
    <t>Networth statement</t>
  </si>
  <si>
    <t>Networth</t>
  </si>
  <si>
    <t>Total Assets</t>
  </si>
  <si>
    <t>Total Liabilities</t>
  </si>
  <si>
    <t>June</t>
  </si>
  <si>
    <t>July</t>
  </si>
  <si>
    <t>Total Operational Expenses</t>
  </si>
  <si>
    <t>CASH OUT*</t>
  </si>
  <si>
    <t>Operational Expenses</t>
  </si>
  <si>
    <t xml:space="preserve">Financing </t>
  </si>
  <si>
    <t>Start-up Costs</t>
  </si>
  <si>
    <t>Advertising*</t>
  </si>
  <si>
    <r>
      <t xml:space="preserve">When using this sheet, adjust capital costs based on hops farming scenario.  </t>
    </r>
    <r>
      <rPr>
        <sz val="10"/>
        <rFont val="Verdana"/>
        <family val="0"/>
      </rPr>
      <t xml:space="preserve">Some capital expenses are only required for independent farmers who are responsible for everything to get the hops to market. </t>
    </r>
    <r>
      <rPr>
        <sz val="10"/>
        <rFont val="Verdana"/>
        <family val="0"/>
      </rPr>
      <t xml:space="preserve">Farmers in a Collective Growers Program will only require basic farm equipment for growing, drying and bailing hops. </t>
    </r>
  </si>
  <si>
    <t>Oast House</t>
  </si>
  <si>
    <t>Scenario</t>
  </si>
  <si>
    <t>Packaging Machine</t>
  </si>
  <si>
    <t>Refridgeration &amp; Cold Storage</t>
  </si>
  <si>
    <t>Independent farmer only</t>
  </si>
  <si>
    <t>Total</t>
  </si>
  <si>
    <t>Collective grower or independent farmer</t>
  </si>
  <si>
    <t>Annual Capital Expenses</t>
  </si>
  <si>
    <t>Vehicle fuel/maintenance</t>
  </si>
  <si>
    <t>Cost/yr.</t>
  </si>
  <si>
    <t>Operating Loan</t>
  </si>
  <si>
    <t>Total Expenses</t>
  </si>
  <si>
    <t>Total Revenue</t>
  </si>
  <si>
    <t>Telephone/cell phone</t>
  </si>
  <si>
    <t>Travel</t>
  </si>
  <si>
    <t>Yr 10</t>
  </si>
  <si>
    <t>Yield</t>
  </si>
  <si>
    <t>Value per Pound (pellet, mechanized pick) HYC</t>
  </si>
  <si>
    <t>Price = [FC+(VC*Q)]/Q</t>
  </si>
  <si>
    <t>Y12</t>
  </si>
  <si>
    <t>Y13</t>
  </si>
  <si>
    <t>Y14</t>
  </si>
  <si>
    <t>Y15</t>
  </si>
  <si>
    <t>include # acres</t>
  </si>
  <si>
    <t>Year 1</t>
  </si>
  <si>
    <t>Year 2</t>
  </si>
  <si>
    <t>Year 3</t>
  </si>
  <si>
    <t>Total</t>
  </si>
  <si>
    <t>Revenues</t>
  </si>
  <si>
    <t>Fixed costs</t>
  </si>
  <si>
    <t>Interest Operating Loan</t>
  </si>
  <si>
    <t>Interest Capital Loan</t>
  </si>
  <si>
    <t>September</t>
  </si>
  <si>
    <t>October</t>
  </si>
  <si>
    <t>Hop yard Assembly</t>
  </si>
  <si>
    <t>Total Capital Expenses</t>
  </si>
  <si>
    <t xml:space="preserve">CASH IN </t>
  </si>
  <si>
    <t>Net Cash In</t>
  </si>
  <si>
    <t>Ground Anchors (48")</t>
  </si>
  <si>
    <t xml:space="preserve">Eyebolts </t>
  </si>
  <si>
    <t>1/4" aircraft cable</t>
  </si>
  <si>
    <t>Couplers (0.5" x 0.5")</t>
  </si>
  <si>
    <t>End Caps (0.5")</t>
  </si>
  <si>
    <t>Month 2</t>
  </si>
  <si>
    <t>Month 3</t>
  </si>
  <si>
    <t>Yr 4</t>
  </si>
  <si>
    <t>Yr 5</t>
  </si>
  <si>
    <t>Owners Equity (TA-TL)</t>
  </si>
  <si>
    <t>Rent  (Processing)($600/mo)*</t>
  </si>
  <si>
    <t>Total Revenue</t>
  </si>
  <si>
    <t>Rent (equipment/other)*</t>
  </si>
  <si>
    <t>Current Assets</t>
  </si>
  <si>
    <t>Cash</t>
  </si>
  <si>
    <t>Production Per Acre (dried pounds)</t>
  </si>
  <si>
    <t>Hrs per Pound (mechanized)</t>
  </si>
  <si>
    <t>Investment contributions</t>
  </si>
  <si>
    <t>Lab Fees*</t>
  </si>
  <si>
    <t>Sales - Hops</t>
  </si>
  <si>
    <t>Fertilizer/compost($2.5k/acre)</t>
  </si>
  <si>
    <t>Personal contributions (30%)</t>
  </si>
  <si>
    <t>Capital Loan (70%)</t>
  </si>
  <si>
    <t>Trailer</t>
  </si>
  <si>
    <t>Picker</t>
  </si>
  <si>
    <t>Grinder/Pelletizer</t>
  </si>
  <si>
    <t>Pest Management</t>
  </si>
  <si>
    <t>Term (years)</t>
  </si>
  <si>
    <t>Fertilizer/Compost</t>
  </si>
  <si>
    <t>Quantity</t>
  </si>
  <si>
    <t>Unit</t>
  </si>
  <si>
    <t>Price/unit</t>
  </si>
  <si>
    <t>Totals</t>
  </si>
  <si>
    <t>Structure</t>
  </si>
  <si>
    <t>End Poles (6" x 22')</t>
  </si>
  <si>
    <t>each</t>
  </si>
  <si>
    <t>Bank Fees (general)</t>
  </si>
  <si>
    <t>Empl. Costs (WCB, EI, CPP, AL)</t>
  </si>
  <si>
    <t>Current Liabilities</t>
  </si>
  <si>
    <t>Accounts Payable (Principle)</t>
  </si>
  <si>
    <t>Depreciation Truck</t>
  </si>
  <si>
    <t>Management Salary (+5000/yr)*</t>
  </si>
  <si>
    <t>Fuel &amp; Oil*</t>
  </si>
  <si>
    <t>Y11</t>
  </si>
  <si>
    <t>Totals</t>
  </si>
  <si>
    <t>Total Acres</t>
  </si>
  <si>
    <t>Buildings/Structures</t>
  </si>
  <si>
    <t>Services</t>
  </si>
  <si>
    <t>Soil samples will likely only be sent to labs prior to amendment - leb fees may discontinued once yards are established</t>
  </si>
  <si>
    <t>This number will change once marketing plan is complete</t>
  </si>
  <si>
    <t>Number of acres required to breakeven</t>
  </si>
  <si>
    <t>Capital Expenses</t>
  </si>
  <si>
    <t>Production (dried pounds)</t>
  </si>
  <si>
    <t>Expenses</t>
  </si>
  <si>
    <t>Variable Expenses</t>
  </si>
  <si>
    <t>Cost/Acre</t>
  </si>
  <si>
    <t>Branding, Web &amp; Print</t>
  </si>
  <si>
    <t>Total Capital Expenses</t>
  </si>
  <si>
    <t>Equity contribution</t>
  </si>
  <si>
    <t>Change green numbers only</t>
  </si>
  <si>
    <t>December</t>
  </si>
  <si>
    <t>Tractor Maintenece</t>
  </si>
  <si>
    <t>Tractor</t>
  </si>
  <si>
    <t>Quanitity</t>
  </si>
  <si>
    <t>Depreciation</t>
  </si>
  <si>
    <t>Annual Capital Expenses</t>
  </si>
  <si>
    <t>Required number of full acres in production to break even</t>
  </si>
  <si>
    <t>Breakeven Price</t>
  </si>
  <si>
    <t>Assumptions</t>
  </si>
  <si>
    <t>Hop yard assembly</t>
  </si>
  <si>
    <t>Harvest Labour/acre (mechanized pick)(45 hrs)</t>
  </si>
  <si>
    <t>Drip Line (0.5")</t>
  </si>
  <si>
    <t>Capital Loan</t>
  </si>
  <si>
    <t>Operational Loan</t>
  </si>
  <si>
    <t>lin. ft.</t>
  </si>
  <si>
    <t>3/16" aircraft cable</t>
  </si>
  <si>
    <t>1/4" clips</t>
  </si>
  <si>
    <t>3/16" clips</t>
  </si>
  <si>
    <t xml:space="preserve">Cable Cutters </t>
  </si>
  <si>
    <t>Stone (3/4" crush)</t>
  </si>
  <si>
    <t>Tees (1.25"x1.25"x1.25")</t>
  </si>
  <si>
    <t>Tees (1.25"x1.25"x0.5")</t>
  </si>
  <si>
    <t>Yr 6</t>
  </si>
  <si>
    <t>Yr 7</t>
  </si>
  <si>
    <t>Yr 8</t>
  </si>
  <si>
    <t>1/4" eyelets</t>
  </si>
  <si>
    <t>Month 4</t>
  </si>
  <si>
    <t xml:space="preserve">Month 5 </t>
  </si>
  <si>
    <t xml:space="preserve"> Month 6</t>
  </si>
  <si>
    <t xml:space="preserve"> Month 7</t>
  </si>
  <si>
    <t xml:space="preserve"> Month 8</t>
  </si>
  <si>
    <t>Month 9</t>
  </si>
  <si>
    <t xml:space="preserve"> Month 10</t>
  </si>
  <si>
    <t xml:space="preserve"> Month 11</t>
  </si>
  <si>
    <t xml:space="preserve"> Month 12</t>
  </si>
  <si>
    <t>TOTAL CASH IN:</t>
  </si>
  <si>
    <t xml:space="preserve"> </t>
  </si>
  <si>
    <t>Cost of Labour/Hr</t>
  </si>
  <si>
    <t>Yield: Yr 1 = 0%, Yr 2 = 40%, Yr 3 = 90%, Yr 4 = 100%</t>
  </si>
  <si>
    <t>Year 4</t>
  </si>
  <si>
    <t>Spring/Summer Labour (500 hrs/acre)</t>
  </si>
  <si>
    <t>Dues and Subscriptions</t>
  </si>
  <si>
    <t>Total</t>
  </si>
  <si>
    <t>Coir Twine</t>
  </si>
  <si>
    <t>bale</t>
  </si>
  <si>
    <t>Clover Seed</t>
  </si>
  <si>
    <t>BUSINESS CASHFLOW</t>
  </si>
  <si>
    <t>Truck</t>
  </si>
  <si>
    <t>Leasing land (150/acre/mo)</t>
  </si>
  <si>
    <t>Total Variable Costs/acre</t>
  </si>
  <si>
    <t>Total Interest</t>
  </si>
  <si>
    <t>Bookkeeper</t>
  </si>
  <si>
    <t>Line Poles (4" x 20')</t>
  </si>
  <si>
    <t>Grants</t>
  </si>
  <si>
    <t>Depreciation* (must sep. by equip)</t>
  </si>
  <si>
    <t>Bank Charges (0.5% of revenue)</t>
  </si>
  <si>
    <t>Liabilities</t>
  </si>
  <si>
    <t>Loan Payment</t>
  </si>
  <si>
    <t>Longterm Liabilities</t>
  </si>
  <si>
    <t>Leasing land (150/acre/mo)*</t>
  </si>
  <si>
    <t>Variable $/lb (VC/LBS per Acre)</t>
  </si>
  <si>
    <t>Office Expenses</t>
  </si>
  <si>
    <t>Materials &amp; Inventory</t>
  </si>
  <si>
    <t>Total Profit/acre (100% yield)</t>
  </si>
  <si>
    <t>Assets</t>
  </si>
  <si>
    <t>Quantity = FC/(P-VC)</t>
  </si>
  <si>
    <t>TOTAL EXPENSES</t>
  </si>
  <si>
    <t>Opening cash balance</t>
  </si>
  <si>
    <t>Total cash in</t>
  </si>
  <si>
    <t>Total cash out</t>
  </si>
  <si>
    <t>April</t>
  </si>
  <si>
    <t>May</t>
  </si>
  <si>
    <t>August</t>
  </si>
  <si>
    <t>Loan Payment</t>
  </si>
  <si>
    <t>Interest</t>
  </si>
  <si>
    <t>Principle</t>
  </si>
  <si>
    <t>End of year Balance</t>
  </si>
  <si>
    <t>Loan</t>
  </si>
  <si>
    <t>Loan Amount</t>
  </si>
  <si>
    <t>Payment Factor</t>
  </si>
  <si>
    <t>Annual Payment</t>
  </si>
  <si>
    <t>Total Payments</t>
  </si>
  <si>
    <t>Interest Paid</t>
  </si>
  <si>
    <t>Principle Paid</t>
  </si>
  <si>
    <t>Year</t>
  </si>
  <si>
    <t>Truck/trailer</t>
  </si>
  <si>
    <t>Revenues</t>
  </si>
  <si>
    <t>Yr 9</t>
  </si>
  <si>
    <t>Utilities (E)</t>
  </si>
  <si>
    <t>Farm Manager Salary</t>
  </si>
  <si>
    <t>Mareketing sales staff</t>
  </si>
  <si>
    <t>Pelletizing &amp; Package Labour/acre (40 hrs)</t>
  </si>
  <si>
    <t>Operating grant</t>
  </si>
  <si>
    <t>Capital Grant</t>
  </si>
  <si>
    <t xml:space="preserve">Estimated Operating Loan per year </t>
  </si>
  <si>
    <t>Month 1</t>
  </si>
  <si>
    <t>January</t>
  </si>
  <si>
    <t>February</t>
  </si>
  <si>
    <t>90 degree elbow (1.25")</t>
  </si>
  <si>
    <t>End Caps (1.25")</t>
  </si>
  <si>
    <t>Valves (1.25")</t>
  </si>
  <si>
    <t>Valve Stand</t>
  </si>
  <si>
    <t>Programmable Timer</t>
  </si>
  <si>
    <t>Source</t>
  </si>
  <si>
    <t>Amount</t>
  </si>
  <si>
    <t>Rate</t>
  </si>
  <si>
    <t>n/a</t>
  </si>
  <si>
    <t>Investors</t>
  </si>
  <si>
    <t>Dividends</t>
  </si>
  <si>
    <t>cubic yd</t>
  </si>
  <si>
    <t xml:space="preserve">Planting   </t>
  </si>
  <si>
    <t>Rhizomes</t>
  </si>
  <si>
    <t>Trailer</t>
  </si>
  <si>
    <t>Year 1</t>
  </si>
  <si>
    <t>Year 2</t>
  </si>
  <si>
    <t>Year 3</t>
  </si>
  <si>
    <t>Year 7</t>
  </si>
  <si>
    <t>Year 8</t>
  </si>
  <si>
    <t>Year 9</t>
  </si>
  <si>
    <t>Year 1</t>
  </si>
  <si>
    <t>Trellising Supplies/Maint.</t>
  </si>
  <si>
    <t>End of year Balance</t>
  </si>
  <si>
    <t>Capital Loan</t>
  </si>
  <si>
    <t>Operating Loan</t>
  </si>
  <si>
    <t>Total Princ.</t>
  </si>
  <si>
    <t>lbs</t>
  </si>
  <si>
    <t>6" pots</t>
  </si>
  <si>
    <t>Year 6</t>
  </si>
  <si>
    <t>This item was carried forward from original pro forma's - assuming it accounts for fuel and oil to run farm equipment</t>
  </si>
  <si>
    <t>Electricity for Processing</t>
  </si>
  <si>
    <t>*</t>
  </si>
  <si>
    <t>Water</t>
  </si>
  <si>
    <t>Based on year 4 production</t>
  </si>
  <si>
    <t>Assumption that various equipment will have to be rented every year - budget item</t>
  </si>
  <si>
    <t>Longterm Assets</t>
  </si>
  <si>
    <t>Truck</t>
  </si>
  <si>
    <t>Based on assumption - all leased land will have lease agreement attached and lease amounts will vary</t>
  </si>
  <si>
    <t>Based on assumption that tractor servicing agreement will be in place and 5000/year will be required</t>
  </si>
  <si>
    <t>10%/year Based on the use of assets to increase profits</t>
  </si>
  <si>
    <t>Vehicle Insurance</t>
  </si>
  <si>
    <t>Adjusted Net Income (w/out interest operating loan)</t>
  </si>
  <si>
    <t>Operating loan amount</t>
  </si>
  <si>
    <t>Collective grower or independent farmer</t>
  </si>
  <si>
    <t>Independent farmer only</t>
  </si>
  <si>
    <t>Advertising</t>
  </si>
  <si>
    <t>Principle Capital Loan</t>
  </si>
  <si>
    <t>Principle Operating Loan</t>
  </si>
  <si>
    <t>Cashflow Statement</t>
  </si>
  <si>
    <t xml:space="preserve">New Acres 0% yied </t>
  </si>
  <si>
    <t>Acres at 40% yield</t>
  </si>
  <si>
    <t>Acres at 90% yield</t>
  </si>
  <si>
    <t>Acres at 100% yield</t>
  </si>
  <si>
    <r>
      <t xml:space="preserve">For </t>
    </r>
    <r>
      <rPr>
        <b/>
        <sz val="10"/>
        <rFont val="Verdana"/>
        <family val="0"/>
      </rPr>
      <t>Independent growers</t>
    </r>
    <r>
      <rPr>
        <sz val="10"/>
        <rFont val="Verdana"/>
        <family val="0"/>
      </rPr>
      <t xml:space="preserve">, it's estimated that revenues are based on </t>
    </r>
    <r>
      <rPr>
        <b/>
        <sz val="10"/>
        <rFont val="Verdana"/>
        <family val="0"/>
      </rPr>
      <t>$15 per pound</t>
    </r>
  </si>
  <si>
    <t>Interest Rate (i)</t>
  </si>
  <si>
    <t>Term years (n)</t>
  </si>
  <si>
    <t>Operational Loan</t>
  </si>
  <si>
    <t xml:space="preserve">This sheet provides estimated annual interest and pricinple payments for capital and operational loans using present value interest factors for annual annuity amortization payments. The estimated loan payments assume one lump sum loan.  It is likely that most financial instutions will provide a different dept servicing scenario. Financing from investors or grants has not been included in these financial estimates. </t>
  </si>
  <si>
    <t>Net Income Statement</t>
  </si>
  <si>
    <t>Payment factor = 1/[(1-1(1+i)n)/i]</t>
  </si>
  <si>
    <t>ONLY CHANGE GREEN CELLS</t>
  </si>
  <si>
    <t xml:space="preserve">March </t>
  </si>
  <si>
    <t xml:space="preserve">Planting Soil </t>
  </si>
  <si>
    <t>cubic yd.</t>
  </si>
  <si>
    <t>Irrigation</t>
  </si>
  <si>
    <t>Haven Grip</t>
  </si>
  <si>
    <t>Net Profit Over time - Hops only</t>
  </si>
  <si>
    <t>Yr 2</t>
  </si>
  <si>
    <t>Yr 3</t>
  </si>
  <si>
    <t>Assumption that processing facility will require rent payments to landowner - different agreement may be reached and this item may be ommitted</t>
  </si>
  <si>
    <t>Tractor Maintenece*</t>
  </si>
  <si>
    <t>Year 10</t>
  </si>
  <si>
    <t>Management salary will increase by $5000/year and cap at $70,000 - bonuses will be issued based on performance for yield and quality over estblished targets</t>
  </si>
  <si>
    <t>Total Capital costs</t>
  </si>
  <si>
    <t>1 Acre Materials List</t>
  </si>
  <si>
    <t>Personal Contributions</t>
  </si>
  <si>
    <t xml:space="preserve">Capital  Loan Year </t>
  </si>
  <si>
    <t>Loan Balance</t>
  </si>
  <si>
    <t>Interest</t>
  </si>
  <si>
    <t>Principle</t>
  </si>
  <si>
    <t xml:space="preserve">Operating  Loan Year </t>
  </si>
  <si>
    <t>Loan Balance</t>
  </si>
  <si>
    <t>The net worth statement presents all of the assets and liabilities at fair market value and is intended to show solvency of the business. Depending on financial situations for starting a hops farm, specific adjustments may have to be made to correctly account for assets and liabilities.</t>
  </si>
  <si>
    <t>Net Worth Year 1</t>
  </si>
  <si>
    <t>Balance Sheet Year 1</t>
  </si>
  <si>
    <t xml:space="preserve">The balance sheet presents the assets and liabilities at book value and is intended to show the financial progression of the business. Depending on financial situations for starting a hops farm, specific adjustments may have to be made to correctly account for assets and liabilities. </t>
  </si>
  <si>
    <t xml:space="preserve">The cashflow statement measures the liquidity of the business by tracking all of the cash in and cash out.  Depending on what scenario is being used, the expenses need to be adjusted to correctly represent the farming scenario. Note that this sheet should automatically populate itself based on the Net Income statement and the financing estimates. </t>
  </si>
  <si>
    <t>Balance Sheet</t>
  </si>
  <si>
    <t>Year 1 Capital</t>
  </si>
  <si>
    <t>Hop Yard</t>
  </si>
  <si>
    <t>Balance Sheet and Net Worth Statements</t>
  </si>
  <si>
    <t xml:space="preserve">This net income (NI) statement is intended to inform of the profitabliity of the business over a certain period of time. It itemizes the revenues expenses (variable and fixed) for all of the products of the business.  Depending on what hops growing scenario is being used, the value per pound of hops and the expenses need to be adjusted to correctly represent the farming scenario. </t>
  </si>
  <si>
    <r>
      <t xml:space="preserve">For </t>
    </r>
    <r>
      <rPr>
        <b/>
        <sz val="10"/>
        <rFont val="Verdana"/>
        <family val="0"/>
      </rPr>
      <t>collective growers</t>
    </r>
    <r>
      <rPr>
        <sz val="10"/>
        <rFont val="Verdana"/>
        <family val="0"/>
      </rPr>
      <t xml:space="preserve">, it's estimated that revenues are based on </t>
    </r>
    <r>
      <rPr>
        <b/>
        <sz val="10"/>
        <rFont val="Verdana"/>
        <family val="0"/>
      </rPr>
      <t>$9 per pound</t>
    </r>
  </si>
  <si>
    <t>Fuel &amp; Oil</t>
  </si>
  <si>
    <t>Sub-total Variable Eexpenses</t>
  </si>
  <si>
    <t>Subtotal Fixed Expenses</t>
  </si>
  <si>
    <t>Rent (equipment/other)</t>
  </si>
  <si>
    <t>Breakeven number of acres</t>
  </si>
  <si>
    <t>Breakeven price per pound</t>
  </si>
  <si>
    <t>Net Income Summary</t>
  </si>
  <si>
    <t>Net Income (With interest for operating loan)</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</si>
</sst>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
    <numFmt numFmtId="173" formatCode="#,##0.0_);[Red]\(#,##0.0\)"/>
    <numFmt numFmtId="174" formatCode="&quot;$&quot;#,##0.0_);[Red]\(&quot;$&quot;#,##0.0\)"/>
    <numFmt numFmtId="175" formatCode="&quot;$&quot;#,##0.00"/>
    <numFmt numFmtId="176" formatCode="&quot;$&quot;#,##0.0"/>
    <numFmt numFmtId="177" formatCode="0.0000"/>
  </numFmts>
  <fonts count="61">
    <font>
      <sz val="10"/>
      <name val="Verdana"/>
      <family val="0"/>
    </font>
    <font>
      <b/>
      <sz val="10"/>
      <name val="Verdana"/>
      <family val="0"/>
    </font>
    <font>
      <i/>
      <sz val="10"/>
      <name val="Verdana"/>
      <family val="0"/>
    </font>
    <font>
      <b/>
      <i/>
      <sz val="10"/>
      <name val="Verdana"/>
      <family val="0"/>
    </font>
    <font>
      <sz val="8"/>
      <name val="Verdana"/>
      <family val="0"/>
    </font>
    <font>
      <b/>
      <sz val="14"/>
      <color indexed="8"/>
      <name val="Arial"/>
      <family val="0"/>
    </font>
    <font>
      <sz val="13"/>
      <name val="Arial"/>
      <family val="0"/>
    </font>
    <font>
      <u val="single"/>
      <sz val="13"/>
      <color indexed="8"/>
      <name val="Arial"/>
      <family val="0"/>
    </font>
    <font>
      <sz val="13"/>
      <color indexed="8"/>
      <name val="Arial"/>
      <family val="0"/>
    </font>
    <font>
      <b/>
      <sz val="13"/>
      <color indexed="8"/>
      <name val="Arial"/>
      <family val="0"/>
    </font>
    <font>
      <b/>
      <sz val="13"/>
      <name val="Arial"/>
      <family val="0"/>
    </font>
    <font>
      <b/>
      <u val="single"/>
      <sz val="13"/>
      <color indexed="8"/>
      <name val="Arial"/>
      <family val="0"/>
    </font>
    <font>
      <sz val="13"/>
      <color indexed="57"/>
      <name val="Arial"/>
      <family val="0"/>
    </font>
    <font>
      <u val="single"/>
      <sz val="10"/>
      <color indexed="12"/>
      <name val="Verdana"/>
      <family val="0"/>
    </font>
    <font>
      <u val="single"/>
      <sz val="10"/>
      <color indexed="61"/>
      <name val="Verdana"/>
      <family val="0"/>
    </font>
    <font>
      <b/>
      <sz val="12"/>
      <color indexed="8"/>
      <name val="Calibri"/>
      <family val="2"/>
    </font>
    <font>
      <sz val="8"/>
      <name val="Calibri"/>
      <family val="2"/>
    </font>
    <font>
      <sz val="12"/>
      <name val="Times New Roman"/>
      <family val="0"/>
    </font>
    <font>
      <b/>
      <sz val="12"/>
      <name val="Times New Roman"/>
      <family val="0"/>
    </font>
    <font>
      <sz val="13"/>
      <color indexed="11"/>
      <name val="Arial"/>
      <family val="0"/>
    </font>
    <font>
      <b/>
      <sz val="14"/>
      <color indexed="8"/>
      <name val="Calibri"/>
      <family val="0"/>
    </font>
    <font>
      <sz val="13"/>
      <color indexed="12"/>
      <name val="Arial"/>
      <family val="0"/>
    </font>
    <font>
      <sz val="10"/>
      <color indexed="12"/>
      <name val="Verdana"/>
      <family val="0"/>
    </font>
    <font>
      <b/>
      <sz val="16"/>
      <name val="Verdana"/>
      <family val="0"/>
    </font>
    <font>
      <sz val="10"/>
      <color indexed="57"/>
      <name val="Verdana"/>
      <family val="0"/>
    </font>
    <font>
      <sz val="12"/>
      <color indexed="57"/>
      <name val="Times New Roman"/>
      <family val="0"/>
    </font>
    <font>
      <b/>
      <sz val="12"/>
      <color indexed="57"/>
      <name val="Times New Roman"/>
      <family val="0"/>
    </font>
    <font>
      <b/>
      <sz val="16"/>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color indexed="22"/>
      </right>
      <top>
        <color indexed="63"/>
      </top>
      <bottom style="medium">
        <color indexed="22"/>
      </bottom>
    </border>
    <border>
      <left style="medium">
        <color indexed="22"/>
      </left>
      <right style="medium">
        <color indexed="22"/>
      </right>
      <top>
        <color indexed="63"/>
      </top>
      <bottom style="medium">
        <color indexed="22"/>
      </bottom>
    </border>
    <border>
      <left>
        <color indexed="63"/>
      </left>
      <right style="medium">
        <color indexed="22"/>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medium">
        <color indexed="22"/>
      </left>
      <right style="medium">
        <color indexed="22"/>
      </right>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mediu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
      <left style="medium"/>
      <right style="thin"/>
      <top style="medium"/>
      <bottom style="thin"/>
    </border>
    <border>
      <left style="medium"/>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color indexed="63"/>
      </top>
      <bottom>
        <color indexed="63"/>
      </bottom>
    </border>
    <border>
      <left>
        <color indexed="63"/>
      </left>
      <right>
        <color indexed="63"/>
      </right>
      <top style="thin"/>
      <bottom style="thin"/>
    </border>
    <border>
      <left style="medium"/>
      <right style="medium"/>
      <top style="medium"/>
      <bottom style="medium"/>
    </border>
    <border>
      <left>
        <color indexed="63"/>
      </left>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color indexed="63"/>
      </top>
      <bottom style="thin"/>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thin"/>
      <right>
        <color indexed="63"/>
      </right>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14"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394">
    <xf numFmtId="0" fontId="0" fillId="0" borderId="0" xfId="0" applyAlignment="1">
      <alignment/>
    </xf>
    <xf numFmtId="0" fontId="6" fillId="0" borderId="10" xfId="0" applyFont="1" applyBorder="1" applyAlignment="1">
      <alignment wrapText="1"/>
    </xf>
    <xf numFmtId="0" fontId="9" fillId="0" borderId="10" xfId="0" applyFont="1" applyBorder="1" applyAlignment="1">
      <alignment horizontal="left" wrapText="1"/>
    </xf>
    <xf numFmtId="0" fontId="9" fillId="0" borderId="11" xfId="0" applyFont="1" applyBorder="1" applyAlignment="1">
      <alignment horizontal="left" wrapText="1"/>
    </xf>
    <xf numFmtId="0" fontId="8" fillId="0" borderId="11" xfId="0" applyFont="1" applyBorder="1" applyAlignment="1">
      <alignment horizontal="left" wrapText="1"/>
    </xf>
    <xf numFmtId="165" fontId="6" fillId="0" borderId="10" xfId="0" applyNumberFormat="1" applyFont="1" applyBorder="1" applyAlignment="1">
      <alignment wrapText="1"/>
    </xf>
    <xf numFmtId="0" fontId="6" fillId="0" borderId="12" xfId="0" applyFont="1" applyBorder="1" applyAlignment="1">
      <alignment wrapText="1"/>
    </xf>
    <xf numFmtId="0" fontId="8" fillId="0" borderId="0" xfId="0" applyFont="1" applyFill="1" applyBorder="1" applyAlignment="1">
      <alignment horizontal="left" wrapText="1"/>
    </xf>
    <xf numFmtId="0" fontId="8" fillId="0" borderId="11" xfId="0" applyFont="1" applyFill="1" applyBorder="1" applyAlignment="1">
      <alignment horizontal="left" wrapText="1"/>
    </xf>
    <xf numFmtId="0" fontId="8" fillId="0" borderId="11" xfId="0" applyFont="1" applyBorder="1" applyAlignment="1">
      <alignment horizontal="left"/>
    </xf>
    <xf numFmtId="0" fontId="0" fillId="0" borderId="13" xfId="0" applyBorder="1" applyAlignment="1">
      <alignment/>
    </xf>
    <xf numFmtId="0" fontId="0" fillId="0" borderId="0" xfId="0" applyBorder="1" applyAlignment="1">
      <alignment/>
    </xf>
    <xf numFmtId="0" fontId="1" fillId="0" borderId="13" xfId="0" applyFont="1" applyBorder="1" applyAlignment="1">
      <alignment/>
    </xf>
    <xf numFmtId="0" fontId="1" fillId="0" borderId="0"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xf>
    <xf numFmtId="165" fontId="0" fillId="0" borderId="0" xfId="0" applyNumberFormat="1" applyBorder="1" applyAlignment="1">
      <alignment/>
    </xf>
    <xf numFmtId="0" fontId="0" fillId="0" borderId="0" xfId="0" applyFill="1" applyBorder="1" applyAlignment="1">
      <alignment/>
    </xf>
    <xf numFmtId="0" fontId="1" fillId="0" borderId="0" xfId="0" applyFont="1" applyAlignment="1">
      <alignment/>
    </xf>
    <xf numFmtId="37" fontId="0" fillId="0" borderId="0" xfId="0" applyNumberFormat="1" applyAlignment="1">
      <alignment/>
    </xf>
    <xf numFmtId="0" fontId="0" fillId="0" borderId="16" xfId="0" applyBorder="1" applyAlignment="1">
      <alignment/>
    </xf>
    <xf numFmtId="0" fontId="8" fillId="0" borderId="10" xfId="0" applyFont="1" applyBorder="1" applyAlignment="1">
      <alignment horizontal="left" wrapText="1"/>
    </xf>
    <xf numFmtId="0" fontId="8" fillId="0" borderId="0" xfId="0" applyFont="1" applyBorder="1" applyAlignment="1">
      <alignment horizontal="left" wrapText="1"/>
    </xf>
    <xf numFmtId="0" fontId="8" fillId="0" borderId="10" xfId="0" applyFont="1" applyFill="1" applyBorder="1" applyAlignment="1">
      <alignment horizontal="left" wrapText="1"/>
    </xf>
    <xf numFmtId="0" fontId="8" fillId="0" borderId="17" xfId="0" applyFont="1" applyBorder="1" applyAlignment="1">
      <alignment horizontal="left" wrapText="1"/>
    </xf>
    <xf numFmtId="0" fontId="0" fillId="0" borderId="18" xfId="0" applyBorder="1" applyAlignment="1">
      <alignment/>
    </xf>
    <xf numFmtId="0" fontId="0" fillId="0" borderId="19" xfId="0" applyBorder="1" applyAlignment="1">
      <alignment/>
    </xf>
    <xf numFmtId="165" fontId="8" fillId="0" borderId="0" xfId="0" applyNumberFormat="1" applyFont="1" applyBorder="1" applyAlignment="1">
      <alignment horizontal="right" wrapText="1"/>
    </xf>
    <xf numFmtId="0" fontId="0" fillId="0" borderId="0" xfId="0" applyAlignment="1">
      <alignment horizontal="center" vertical="center"/>
    </xf>
    <xf numFmtId="0" fontId="17" fillId="0" borderId="18" xfId="0" applyFont="1" applyBorder="1" applyAlignment="1">
      <alignment horizontal="center" vertical="center" wrapText="1"/>
    </xf>
    <xf numFmtId="165" fontId="17" fillId="0" borderId="16" xfId="0" applyNumberFormat="1" applyFont="1" applyBorder="1" applyAlignment="1">
      <alignment horizontal="center" vertical="center" wrapText="1"/>
    </xf>
    <xf numFmtId="0" fontId="17" fillId="0" borderId="16" xfId="0" applyFont="1" applyBorder="1" applyAlignment="1">
      <alignment horizontal="center" vertical="center" wrapText="1"/>
    </xf>
    <xf numFmtId="9" fontId="17" fillId="0" borderId="16" xfId="0" applyNumberFormat="1" applyFont="1" applyBorder="1" applyAlignment="1">
      <alignment horizontal="center" vertical="center" wrapText="1"/>
    </xf>
    <xf numFmtId="0" fontId="1" fillId="0" borderId="20" xfId="0" applyFont="1" applyBorder="1" applyAlignment="1">
      <alignment horizontal="center" vertical="center"/>
    </xf>
    <xf numFmtId="165" fontId="1" fillId="0" borderId="21" xfId="0" applyNumberFormat="1" applyFont="1" applyBorder="1" applyAlignment="1">
      <alignment horizontal="center" vertical="center"/>
    </xf>
    <xf numFmtId="0" fontId="1" fillId="0" borderId="21" xfId="0" applyFont="1" applyBorder="1" applyAlignment="1">
      <alignment horizontal="center" vertical="center"/>
    </xf>
    <xf numFmtId="0" fontId="17" fillId="0" borderId="0" xfId="0" applyFont="1" applyFill="1" applyBorder="1" applyAlignment="1">
      <alignment horizontal="center" vertical="center" wrapText="1"/>
    </xf>
    <xf numFmtId="165" fontId="0" fillId="0" borderId="0" xfId="0" applyNumberFormat="1" applyAlignment="1">
      <alignment horizontal="center" vertical="center"/>
    </xf>
    <xf numFmtId="0" fontId="17" fillId="0" borderId="18" xfId="0" applyFont="1" applyFill="1" applyBorder="1" applyAlignment="1">
      <alignment horizontal="center" vertical="center" wrapText="1"/>
    </xf>
    <xf numFmtId="165" fontId="0" fillId="0" borderId="16" xfId="0" applyNumberFormat="1" applyBorder="1" applyAlignment="1">
      <alignment horizontal="center" vertical="center"/>
    </xf>
    <xf numFmtId="0" fontId="0" fillId="0" borderId="16" xfId="0" applyBorder="1" applyAlignment="1">
      <alignment horizontal="center" vertical="center"/>
    </xf>
    <xf numFmtId="3" fontId="0" fillId="0" borderId="16" xfId="0" applyNumberFormat="1" applyBorder="1" applyAlignment="1">
      <alignment horizontal="center" vertical="center"/>
    </xf>
    <xf numFmtId="165" fontId="0" fillId="0" borderId="19" xfId="0" applyNumberFormat="1" applyBorder="1" applyAlignment="1">
      <alignment horizontal="center" vertical="center"/>
    </xf>
    <xf numFmtId="0" fontId="17" fillId="0" borderId="20" xfId="0" applyFont="1" applyFill="1" applyBorder="1" applyAlignment="1">
      <alignment horizontal="center" vertical="center" wrapText="1"/>
    </xf>
    <xf numFmtId="165" fontId="0" fillId="0" borderId="21" xfId="0" applyNumberFormat="1" applyBorder="1" applyAlignment="1">
      <alignment horizontal="center" vertical="center"/>
    </xf>
    <xf numFmtId="0" fontId="0" fillId="0" borderId="21" xfId="0" applyBorder="1" applyAlignment="1">
      <alignment horizontal="center" vertical="center"/>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6" fillId="0" borderId="16" xfId="0" applyFont="1" applyBorder="1" applyAlignment="1">
      <alignment horizontal="center" vertical="center" wrapText="1"/>
    </xf>
    <xf numFmtId="0" fontId="9" fillId="0" borderId="16"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18" xfId="0" applyFont="1" applyBorder="1" applyAlignment="1">
      <alignment horizontal="center" vertical="center" wrapText="1"/>
    </xf>
    <xf numFmtId="165" fontId="8" fillId="0" borderId="16" xfId="0" applyNumberFormat="1" applyFont="1" applyBorder="1" applyAlignment="1">
      <alignment horizontal="center" vertical="center" wrapText="1"/>
    </xf>
    <xf numFmtId="172" fontId="6" fillId="0" borderId="16" xfId="0" applyNumberFormat="1" applyFont="1" applyBorder="1" applyAlignment="1">
      <alignment horizontal="center" vertical="center" wrapText="1"/>
    </xf>
    <xf numFmtId="172" fontId="6" fillId="0" borderId="19" xfId="0" applyNumberFormat="1" applyFont="1" applyBorder="1" applyAlignment="1">
      <alignment horizontal="center" vertical="center" wrapText="1"/>
    </xf>
    <xf numFmtId="165" fontId="8" fillId="0" borderId="19" xfId="0" applyNumberFormat="1" applyFont="1" applyBorder="1" applyAlignment="1">
      <alignment horizontal="center" vertical="center" wrapText="1"/>
    </xf>
    <xf numFmtId="0" fontId="9" fillId="33" borderId="20" xfId="0" applyFont="1" applyFill="1" applyBorder="1" applyAlignment="1">
      <alignment horizontal="center" vertical="center" wrapText="1"/>
    </xf>
    <xf numFmtId="0" fontId="10" fillId="33" borderId="21" xfId="0" applyFont="1" applyFill="1" applyBorder="1" applyAlignment="1">
      <alignment horizontal="center" vertical="center" wrapText="1"/>
    </xf>
    <xf numFmtId="165" fontId="9" fillId="33" borderId="21" xfId="0" applyNumberFormat="1" applyFont="1" applyFill="1" applyBorder="1" applyAlignment="1">
      <alignment horizontal="center" vertical="center" wrapText="1"/>
    </xf>
    <xf numFmtId="0" fontId="15" fillId="0" borderId="16" xfId="0" applyFont="1" applyBorder="1" applyAlignment="1">
      <alignment horizontal="center" vertical="center"/>
    </xf>
    <xf numFmtId="167" fontId="0" fillId="0" borderId="16" xfId="0" applyNumberFormat="1" applyBorder="1" applyAlignment="1">
      <alignment horizontal="center" vertical="center"/>
    </xf>
    <xf numFmtId="167" fontId="15" fillId="0" borderId="16" xfId="0" applyNumberFormat="1" applyFont="1" applyBorder="1" applyAlignment="1">
      <alignment horizontal="center" vertical="center"/>
    </xf>
    <xf numFmtId="0" fontId="15" fillId="33" borderId="16" xfId="0" applyFont="1" applyFill="1" applyBorder="1" applyAlignment="1">
      <alignment horizontal="center" vertical="center"/>
    </xf>
    <xf numFmtId="167" fontId="15" fillId="33" borderId="16" xfId="0" applyNumberFormat="1" applyFont="1" applyFill="1" applyBorder="1" applyAlignment="1">
      <alignment horizontal="center" vertical="center"/>
    </xf>
    <xf numFmtId="0" fontId="0" fillId="0" borderId="0" xfId="0" applyBorder="1" applyAlignment="1">
      <alignment horizontal="center" vertical="center"/>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9" xfId="0" applyFont="1" applyBorder="1" applyAlignment="1">
      <alignment horizontal="center" vertical="center" wrapText="1"/>
    </xf>
    <xf numFmtId="0" fontId="9"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9"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9" xfId="0" applyFont="1" applyBorder="1" applyAlignment="1">
      <alignment horizontal="center" vertical="center" wrapText="1"/>
    </xf>
    <xf numFmtId="165" fontId="10" fillId="0" borderId="16" xfId="0" applyNumberFormat="1" applyFont="1" applyBorder="1" applyAlignment="1">
      <alignment horizontal="center" vertical="center" wrapText="1"/>
    </xf>
    <xf numFmtId="165" fontId="10" fillId="0" borderId="19" xfId="0" applyNumberFormat="1" applyFont="1" applyBorder="1" applyAlignment="1">
      <alignment horizontal="center" vertical="center" wrapText="1"/>
    </xf>
    <xf numFmtId="165" fontId="9" fillId="33" borderId="24" xfId="0" applyNumberFormat="1" applyFont="1" applyFill="1" applyBorder="1" applyAlignment="1">
      <alignment horizontal="center" vertical="center" wrapText="1"/>
    </xf>
    <xf numFmtId="0" fontId="6" fillId="0" borderId="17" xfId="0" applyFont="1" applyBorder="1" applyAlignment="1">
      <alignment horizontal="center" vertical="center" wrapText="1"/>
    </xf>
    <xf numFmtId="172" fontId="12" fillId="0" borderId="16" xfId="0" applyNumberFormat="1" applyFont="1" applyBorder="1" applyAlignment="1">
      <alignment horizontal="center" vertical="center" wrapText="1"/>
    </xf>
    <xf numFmtId="172" fontId="8" fillId="0" borderId="16" xfId="0" applyNumberFormat="1" applyFont="1" applyBorder="1" applyAlignment="1">
      <alignment horizontal="center" vertical="center" wrapText="1"/>
    </xf>
    <xf numFmtId="172" fontId="8" fillId="0" borderId="19" xfId="0" applyNumberFormat="1" applyFont="1" applyBorder="1" applyAlignment="1">
      <alignment horizontal="center" vertical="center" wrapText="1"/>
    </xf>
    <xf numFmtId="172" fontId="9" fillId="0" borderId="16" xfId="0" applyNumberFormat="1" applyFont="1" applyBorder="1" applyAlignment="1">
      <alignment horizontal="center" vertical="center" wrapText="1"/>
    </xf>
    <xf numFmtId="172" fontId="9" fillId="0" borderId="19" xfId="0" applyNumberFormat="1" applyFont="1" applyBorder="1" applyAlignment="1">
      <alignment horizontal="center" vertical="center" wrapText="1"/>
    </xf>
    <xf numFmtId="165" fontId="12" fillId="0" borderId="16" xfId="0" applyNumberFormat="1" applyFont="1" applyBorder="1" applyAlignment="1">
      <alignment horizontal="center" vertical="center" wrapText="1"/>
    </xf>
    <xf numFmtId="165" fontId="6" fillId="0" borderId="16" xfId="0" applyNumberFormat="1" applyFont="1" applyBorder="1" applyAlignment="1">
      <alignment horizontal="center" vertical="center" wrapText="1"/>
    </xf>
    <xf numFmtId="165" fontId="6" fillId="0" borderId="19" xfId="0" applyNumberFormat="1" applyFont="1" applyBorder="1" applyAlignment="1">
      <alignment horizontal="center" vertical="center" wrapText="1"/>
    </xf>
    <xf numFmtId="0" fontId="6" fillId="0" borderId="22" xfId="0" applyFont="1" applyFill="1" applyBorder="1" applyAlignment="1">
      <alignment horizontal="center" vertical="center" wrapText="1"/>
    </xf>
    <xf numFmtId="165" fontId="10" fillId="0" borderId="22" xfId="0" applyNumberFormat="1" applyFont="1" applyFill="1" applyBorder="1" applyAlignment="1">
      <alignment horizontal="center" vertical="center" wrapText="1"/>
    </xf>
    <xf numFmtId="165" fontId="10" fillId="0" borderId="23"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165" fontId="9" fillId="0" borderId="16" xfId="0" applyNumberFormat="1" applyFont="1" applyFill="1" applyBorder="1" applyAlignment="1">
      <alignment horizontal="center" vertical="center" wrapText="1"/>
    </xf>
    <xf numFmtId="165" fontId="8" fillId="0" borderId="21" xfId="0" applyNumberFormat="1" applyFont="1" applyBorder="1" applyAlignment="1">
      <alignment horizontal="center" vertical="center" wrapText="1"/>
    </xf>
    <xf numFmtId="0" fontId="6" fillId="0" borderId="25" xfId="0" applyFont="1" applyBorder="1" applyAlignment="1">
      <alignment horizontal="center" vertical="center" wrapText="1"/>
    </xf>
    <xf numFmtId="165" fontId="8" fillId="0" borderId="25" xfId="0" applyNumberFormat="1" applyFont="1" applyBorder="1" applyAlignment="1">
      <alignment horizontal="center" vertical="center" wrapText="1"/>
    </xf>
    <xf numFmtId="165" fontId="8" fillId="0" borderId="0" xfId="0" applyNumberFormat="1" applyFont="1" applyBorder="1" applyAlignment="1">
      <alignment horizontal="center" vertical="center" wrapText="1"/>
    </xf>
    <xf numFmtId="165" fontId="8" fillId="0" borderId="0" xfId="0" applyNumberFormat="1" applyFont="1" applyBorder="1" applyAlignment="1">
      <alignment horizontal="center" vertical="center"/>
    </xf>
    <xf numFmtId="167" fontId="8" fillId="0" borderId="16" xfId="0" applyNumberFormat="1" applyFont="1" applyBorder="1" applyAlignment="1">
      <alignment horizontal="center" vertical="center" wrapText="1"/>
    </xf>
    <xf numFmtId="165" fontId="8" fillId="0" borderId="16" xfId="0" applyNumberFormat="1" applyFont="1" applyBorder="1" applyAlignment="1">
      <alignment horizontal="center" vertical="center"/>
    </xf>
    <xf numFmtId="165" fontId="8" fillId="0" borderId="19" xfId="0" applyNumberFormat="1" applyFont="1" applyBorder="1" applyAlignment="1">
      <alignment horizontal="center" vertical="center"/>
    </xf>
    <xf numFmtId="0" fontId="1" fillId="33" borderId="21" xfId="0" applyFont="1" applyFill="1" applyBorder="1" applyAlignment="1">
      <alignment horizontal="center" vertical="center"/>
    </xf>
    <xf numFmtId="0" fontId="8" fillId="0" borderId="18" xfId="0" applyFont="1" applyBorder="1" applyAlignment="1">
      <alignment horizontal="center" vertical="center"/>
    </xf>
    <xf numFmtId="0" fontId="6" fillId="0" borderId="19" xfId="0" applyFont="1" applyBorder="1" applyAlignment="1">
      <alignment horizontal="center" vertical="center"/>
    </xf>
    <xf numFmtId="40" fontId="10" fillId="33" borderId="24" xfId="0" applyNumberFormat="1" applyFont="1" applyFill="1" applyBorder="1" applyAlignment="1">
      <alignment horizontal="center" vertical="center" wrapText="1"/>
    </xf>
    <xf numFmtId="0" fontId="9" fillId="0" borderId="0" xfId="0" applyFont="1" applyBorder="1" applyAlignment="1">
      <alignment horizontal="center" vertical="center" wrapText="1"/>
    </xf>
    <xf numFmtId="165" fontId="10" fillId="0" borderId="0" xfId="0" applyNumberFormat="1" applyFont="1" applyBorder="1" applyAlignment="1">
      <alignment horizontal="center" vertical="center" wrapText="1"/>
    </xf>
    <xf numFmtId="165" fontId="10" fillId="0" borderId="21" xfId="0" applyNumberFormat="1" applyFont="1" applyBorder="1" applyAlignment="1">
      <alignment horizontal="center" vertical="center" wrapText="1"/>
    </xf>
    <xf numFmtId="167" fontId="12" fillId="0" borderId="16" xfId="0" applyNumberFormat="1" applyFont="1" applyBorder="1" applyAlignment="1">
      <alignment horizontal="center" vertical="center" wrapText="1"/>
    </xf>
    <xf numFmtId="0" fontId="12" fillId="0" borderId="22" xfId="0" applyFont="1" applyBorder="1" applyAlignment="1">
      <alignment horizontal="center" vertical="center" wrapText="1"/>
    </xf>
    <xf numFmtId="0" fontId="5" fillId="0" borderId="0" xfId="0" applyFont="1" applyFill="1" applyBorder="1" applyAlignment="1">
      <alignment vertical="center" wrapText="1"/>
    </xf>
    <xf numFmtId="0" fontId="0" fillId="0" borderId="0" xfId="0" applyFill="1" applyBorder="1" applyAlignment="1">
      <alignment vertical="center"/>
    </xf>
    <xf numFmtId="0" fontId="9" fillId="33" borderId="26" xfId="0" applyFont="1" applyFill="1" applyBorder="1" applyAlignment="1">
      <alignment horizontal="left" wrapText="1"/>
    </xf>
    <xf numFmtId="0" fontId="8" fillId="0" borderId="22" xfId="0" applyFont="1" applyBorder="1" applyAlignment="1">
      <alignment horizontal="center" vertical="center" wrapText="1"/>
    </xf>
    <xf numFmtId="0" fontId="9" fillId="33" borderId="27" xfId="0" applyFont="1" applyFill="1" applyBorder="1" applyAlignment="1">
      <alignment horizontal="left" wrapText="1"/>
    </xf>
    <xf numFmtId="0" fontId="9" fillId="33" borderId="28" xfId="0" applyFont="1" applyFill="1" applyBorder="1" applyAlignment="1">
      <alignment horizontal="left" wrapText="1"/>
    </xf>
    <xf numFmtId="0" fontId="9" fillId="0" borderId="0" xfId="0" applyFont="1" applyBorder="1" applyAlignment="1">
      <alignment horizontal="left" wrapText="1"/>
    </xf>
    <xf numFmtId="175" fontId="8" fillId="0" borderId="22" xfId="0" applyNumberFormat="1" applyFont="1" applyBorder="1" applyAlignment="1">
      <alignment horizontal="center" vertical="center" wrapText="1"/>
    </xf>
    <xf numFmtId="0" fontId="8" fillId="0" borderId="23" xfId="0" applyFont="1" applyBorder="1" applyAlignment="1">
      <alignment horizontal="center" vertical="center" wrapText="1"/>
    </xf>
    <xf numFmtId="172" fontId="8" fillId="0" borderId="16" xfId="0" applyNumberFormat="1" applyFont="1" applyFill="1" applyBorder="1" applyAlignment="1">
      <alignment horizontal="center" vertical="center" wrapText="1"/>
    </xf>
    <xf numFmtId="172" fontId="8" fillId="0" borderId="19" xfId="0" applyNumberFormat="1" applyFont="1" applyFill="1" applyBorder="1" applyAlignment="1">
      <alignment horizontal="center" vertical="center" wrapText="1"/>
    </xf>
    <xf numFmtId="172" fontId="8" fillId="0" borderId="21" xfId="0" applyNumberFormat="1" applyFont="1" applyBorder="1" applyAlignment="1">
      <alignment horizontal="center" vertical="center" wrapText="1"/>
    </xf>
    <xf numFmtId="172" fontId="8" fillId="0" borderId="24" xfId="0" applyNumberFormat="1" applyFont="1" applyBorder="1" applyAlignment="1">
      <alignment horizontal="center" vertical="center" wrapText="1"/>
    </xf>
    <xf numFmtId="172" fontId="8" fillId="0" borderId="17" xfId="0" applyNumberFormat="1" applyFont="1" applyBorder="1" applyAlignment="1">
      <alignment horizontal="center" vertical="center" wrapText="1"/>
    </xf>
    <xf numFmtId="172" fontId="8" fillId="0" borderId="25" xfId="0" applyNumberFormat="1" applyFont="1" applyBorder="1" applyAlignment="1">
      <alignment horizontal="center" vertical="center" wrapText="1"/>
    </xf>
    <xf numFmtId="172" fontId="8" fillId="0" borderId="29" xfId="0" applyNumberFormat="1" applyFont="1" applyBorder="1" applyAlignment="1">
      <alignment horizontal="center" vertical="center" wrapText="1"/>
    </xf>
    <xf numFmtId="172" fontId="9" fillId="33" borderId="21" xfId="0" applyNumberFormat="1" applyFont="1" applyFill="1" applyBorder="1" applyAlignment="1">
      <alignment horizontal="center" vertical="center" wrapText="1"/>
    </xf>
    <xf numFmtId="172" fontId="9" fillId="33" borderId="24" xfId="0" applyNumberFormat="1" applyFont="1" applyFill="1" applyBorder="1" applyAlignment="1">
      <alignment horizontal="center" vertical="center" wrapText="1"/>
    </xf>
    <xf numFmtId="172" fontId="8" fillId="0" borderId="22" xfId="0" applyNumberFormat="1" applyFont="1" applyBorder="1" applyAlignment="1">
      <alignment horizontal="center" vertical="center" wrapText="1"/>
    </xf>
    <xf numFmtId="172" fontId="8" fillId="0" borderId="23" xfId="0" applyNumberFormat="1" applyFont="1" applyBorder="1" applyAlignment="1">
      <alignment horizontal="center" vertical="center" wrapText="1"/>
    </xf>
    <xf numFmtId="0" fontId="8" fillId="33" borderId="21"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9" fillId="33" borderId="26" xfId="0" applyFont="1" applyFill="1" applyBorder="1" applyAlignment="1">
      <alignment horizontal="left" vertical="center" wrapText="1"/>
    </xf>
    <xf numFmtId="0" fontId="0" fillId="33" borderId="27" xfId="0" applyFill="1" applyBorder="1" applyAlignment="1">
      <alignment horizontal="left" vertical="center" wrapText="1"/>
    </xf>
    <xf numFmtId="0" fontId="0" fillId="33" borderId="28" xfId="0" applyFill="1" applyBorder="1" applyAlignment="1">
      <alignment horizontal="left" vertical="center" wrapText="1"/>
    </xf>
    <xf numFmtId="0" fontId="9" fillId="33" borderId="20" xfId="0" applyFont="1" applyFill="1" applyBorder="1" applyAlignment="1">
      <alignment horizontal="left" vertical="center" wrapText="1"/>
    </xf>
    <xf numFmtId="0" fontId="9" fillId="0" borderId="18" xfId="0" applyFont="1" applyBorder="1" applyAlignment="1">
      <alignment horizontal="left" vertical="center" wrapText="1"/>
    </xf>
    <xf numFmtId="0" fontId="8" fillId="0" borderId="18" xfId="0" applyFont="1" applyBorder="1" applyAlignment="1">
      <alignment horizontal="left" vertical="center" wrapText="1"/>
    </xf>
    <xf numFmtId="0" fontId="8" fillId="0" borderId="30" xfId="0" applyFont="1" applyBorder="1" applyAlignment="1">
      <alignment horizontal="left" vertical="center" wrapText="1"/>
    </xf>
    <xf numFmtId="0" fontId="8" fillId="0" borderId="18" xfId="0" applyFont="1" applyFill="1" applyBorder="1" applyAlignment="1">
      <alignment horizontal="left" vertical="center" wrapText="1"/>
    </xf>
    <xf numFmtId="0" fontId="8" fillId="0" borderId="20" xfId="0" applyFont="1" applyBorder="1" applyAlignment="1">
      <alignment horizontal="left" vertical="center" wrapText="1"/>
    </xf>
    <xf numFmtId="0" fontId="8" fillId="0" borderId="17" xfId="0" applyFont="1" applyBorder="1" applyAlignment="1">
      <alignment horizontal="left" vertical="center" wrapText="1"/>
    </xf>
    <xf numFmtId="0" fontId="9" fillId="0" borderId="31" xfId="0" applyFont="1" applyBorder="1" applyAlignment="1">
      <alignment horizontal="left" vertical="center" wrapText="1"/>
    </xf>
    <xf numFmtId="0" fontId="6" fillId="0" borderId="18" xfId="0" applyFont="1" applyBorder="1" applyAlignment="1">
      <alignment horizontal="left" vertical="center" wrapText="1"/>
    </xf>
    <xf numFmtId="0" fontId="10" fillId="0" borderId="18" xfId="0" applyFont="1" applyBorder="1" applyAlignment="1">
      <alignment horizontal="left" vertical="center" wrapText="1"/>
    </xf>
    <xf numFmtId="0" fontId="9" fillId="33" borderId="18" xfId="0" applyFont="1" applyFill="1" applyBorder="1" applyAlignment="1">
      <alignment horizontal="left" vertical="center" wrapText="1"/>
    </xf>
    <xf numFmtId="0" fontId="9" fillId="0" borderId="20" xfId="0" applyFont="1" applyBorder="1" applyAlignment="1">
      <alignment horizontal="left" vertical="center" wrapText="1"/>
    </xf>
    <xf numFmtId="0" fontId="10" fillId="0" borderId="30"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15" fillId="0" borderId="16" xfId="0" applyFont="1" applyBorder="1" applyAlignment="1">
      <alignment horizontal="left" vertical="center"/>
    </xf>
    <xf numFmtId="0" fontId="0" fillId="0" borderId="16" xfId="0" applyBorder="1" applyAlignment="1">
      <alignment horizontal="left" vertical="center"/>
    </xf>
    <xf numFmtId="0" fontId="15" fillId="33" borderId="16" xfId="0" applyFont="1" applyFill="1" applyBorder="1" applyAlignment="1">
      <alignment horizontal="left" vertical="center"/>
    </xf>
    <xf numFmtId="165" fontId="0" fillId="0" borderId="0" xfId="0" applyNumberFormat="1" applyBorder="1" applyAlignment="1">
      <alignment horizontal="center" vertical="center"/>
    </xf>
    <xf numFmtId="174" fontId="0" fillId="0" borderId="0" xfId="0" applyNumberFormat="1" applyBorder="1" applyAlignment="1">
      <alignment horizontal="center" vertical="center"/>
    </xf>
    <xf numFmtId="165" fontId="1" fillId="0" borderId="15" xfId="0" applyNumberFormat="1" applyFont="1" applyBorder="1" applyAlignment="1">
      <alignment horizontal="center" vertical="center"/>
    </xf>
    <xf numFmtId="0" fontId="0" fillId="0" borderId="32" xfId="0" applyBorder="1" applyAlignment="1">
      <alignment horizontal="center" vertical="center"/>
    </xf>
    <xf numFmtId="165" fontId="0" fillId="0" borderId="32" xfId="0" applyNumberFormat="1" applyBorder="1" applyAlignment="1">
      <alignment horizontal="center" vertical="center"/>
    </xf>
    <xf numFmtId="165" fontId="1" fillId="0" borderId="32" xfId="0" applyNumberFormat="1" applyFont="1" applyBorder="1" applyAlignment="1">
      <alignment horizontal="center" vertical="center"/>
    </xf>
    <xf numFmtId="0" fontId="0" fillId="0" borderId="33" xfId="0" applyBorder="1" applyAlignment="1">
      <alignment horizontal="center" vertical="center"/>
    </xf>
    <xf numFmtId="0" fontId="0" fillId="0" borderId="0" xfId="0" applyBorder="1" applyAlignment="1">
      <alignment horizontal="center"/>
    </xf>
    <xf numFmtId="165" fontId="0" fillId="0" borderId="0" xfId="0" applyNumberFormat="1" applyBorder="1" applyAlignment="1">
      <alignment horizontal="center"/>
    </xf>
    <xf numFmtId="165" fontId="1" fillId="0" borderId="15" xfId="0" applyNumberFormat="1" applyFont="1" applyBorder="1" applyAlignment="1">
      <alignment horizontal="center"/>
    </xf>
    <xf numFmtId="3" fontId="8" fillId="0" borderId="16" xfId="0" applyNumberFormat="1" applyFont="1" applyBorder="1" applyAlignment="1">
      <alignment horizontal="center" vertical="center" wrapText="1"/>
    </xf>
    <xf numFmtId="0" fontId="8" fillId="0" borderId="18" xfId="0" applyFont="1" applyBorder="1" applyAlignment="1">
      <alignment horizontal="center" wrapText="1"/>
    </xf>
    <xf numFmtId="0" fontId="6" fillId="0" borderId="18" xfId="0" applyFont="1" applyBorder="1" applyAlignment="1">
      <alignment horizontal="center" wrapText="1"/>
    </xf>
    <xf numFmtId="0" fontId="8" fillId="0" borderId="20" xfId="0" applyFont="1" applyBorder="1" applyAlignment="1">
      <alignment horizontal="center" wrapText="1"/>
    </xf>
    <xf numFmtId="165" fontId="6" fillId="0" borderId="21" xfId="0" applyNumberFormat="1" applyFont="1" applyBorder="1" applyAlignment="1">
      <alignment horizontal="center" vertical="center" wrapText="1"/>
    </xf>
    <xf numFmtId="165" fontId="6" fillId="0" borderId="24" xfId="0" applyNumberFormat="1" applyFont="1" applyBorder="1" applyAlignment="1">
      <alignment horizontal="center" vertical="center" wrapText="1"/>
    </xf>
    <xf numFmtId="165" fontId="0" fillId="0" borderId="0" xfId="0" applyNumberFormat="1" applyAlignment="1">
      <alignment/>
    </xf>
    <xf numFmtId="165" fontId="0" fillId="0" borderId="16" xfId="0" applyNumberFormat="1" applyBorder="1" applyAlignment="1">
      <alignment/>
    </xf>
    <xf numFmtId="165" fontId="0" fillId="0" borderId="19" xfId="0" applyNumberFormat="1" applyBorder="1" applyAlignment="1">
      <alignment/>
    </xf>
    <xf numFmtId="0" fontId="9" fillId="34" borderId="20" xfId="0" applyFont="1" applyFill="1" applyBorder="1" applyAlignment="1">
      <alignment horizontal="left" vertical="center" wrapText="1"/>
    </xf>
    <xf numFmtId="0" fontId="6" fillId="34" borderId="21" xfId="0" applyFont="1" applyFill="1" applyBorder="1" applyAlignment="1">
      <alignment horizontal="center" vertical="center" wrapText="1"/>
    </xf>
    <xf numFmtId="165" fontId="8" fillId="34" borderId="21" xfId="0" applyNumberFormat="1" applyFont="1" applyFill="1" applyBorder="1" applyAlignment="1">
      <alignment horizontal="center" vertical="center" wrapText="1"/>
    </xf>
    <xf numFmtId="167" fontId="6" fillId="0" borderId="10" xfId="0" applyNumberFormat="1" applyFont="1" applyBorder="1" applyAlignment="1">
      <alignment horizontal="center" vertical="center" wrapText="1"/>
    </xf>
    <xf numFmtId="0" fontId="12" fillId="0" borderId="23" xfId="0" applyFont="1" applyBorder="1" applyAlignment="1">
      <alignment horizontal="center" vertical="center" wrapText="1"/>
    </xf>
    <xf numFmtId="0" fontId="1" fillId="0" borderId="18" xfId="0" applyFont="1" applyBorder="1" applyAlignment="1">
      <alignment/>
    </xf>
    <xf numFmtId="0" fontId="0" fillId="0" borderId="20" xfId="0" applyBorder="1" applyAlignment="1">
      <alignment/>
    </xf>
    <xf numFmtId="167" fontId="0" fillId="0" borderId="16" xfId="0" applyNumberFormat="1" applyBorder="1" applyAlignment="1">
      <alignment/>
    </xf>
    <xf numFmtId="172" fontId="19" fillId="0" borderId="16" xfId="0" applyNumberFormat="1" applyFont="1" applyBorder="1" applyAlignment="1">
      <alignment horizontal="center" vertical="center" wrapText="1"/>
    </xf>
    <xf numFmtId="165" fontId="19" fillId="0" borderId="16" xfId="0" applyNumberFormat="1" applyFont="1" applyBorder="1" applyAlignment="1">
      <alignment horizontal="center" vertical="center" wrapText="1"/>
    </xf>
    <xf numFmtId="172" fontId="9" fillId="0" borderId="11" xfId="0" applyNumberFormat="1" applyFont="1" applyBorder="1" applyAlignment="1">
      <alignment horizontal="left" wrapText="1"/>
    </xf>
    <xf numFmtId="167" fontId="0" fillId="0" borderId="0" xfId="0" applyNumberFormat="1" applyAlignment="1">
      <alignment/>
    </xf>
    <xf numFmtId="0" fontId="10" fillId="33" borderId="34" xfId="0" applyFont="1" applyFill="1" applyBorder="1" applyAlignment="1">
      <alignment vertical="center" wrapText="1"/>
    </xf>
    <xf numFmtId="0" fontId="9" fillId="33" borderId="26" xfId="0" applyFont="1" applyFill="1" applyBorder="1" applyAlignment="1">
      <alignment vertical="center" wrapText="1"/>
    </xf>
    <xf numFmtId="0" fontId="0" fillId="33" borderId="27" xfId="0" applyFill="1" applyBorder="1" applyAlignment="1">
      <alignment vertical="center" wrapText="1"/>
    </xf>
    <xf numFmtId="0" fontId="0" fillId="33" borderId="28" xfId="0" applyFill="1" applyBorder="1" applyAlignment="1">
      <alignment vertical="center" wrapText="1"/>
    </xf>
    <xf numFmtId="0" fontId="0" fillId="33" borderId="35" xfId="0" applyFill="1" applyBorder="1" applyAlignment="1">
      <alignment vertical="center" wrapText="1"/>
    </xf>
    <xf numFmtId="0" fontId="0" fillId="33" borderId="36" xfId="0" applyFill="1" applyBorder="1" applyAlignment="1">
      <alignment vertical="center" wrapText="1"/>
    </xf>
    <xf numFmtId="0" fontId="9" fillId="33" borderId="30"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6" fillId="0" borderId="24" xfId="0" applyFont="1" applyBorder="1" applyAlignment="1">
      <alignment horizontal="center" vertical="center" wrapText="1"/>
    </xf>
    <xf numFmtId="0" fontId="10" fillId="33" borderId="37" xfId="0" applyFont="1" applyFill="1" applyBorder="1" applyAlignment="1">
      <alignment horizontal="center" vertical="center" wrapText="1"/>
    </xf>
    <xf numFmtId="165" fontId="9" fillId="33" borderId="37" xfId="0" applyNumberFormat="1" applyFont="1" applyFill="1" applyBorder="1" applyAlignment="1">
      <alignment horizontal="center" vertical="center" wrapText="1"/>
    </xf>
    <xf numFmtId="0" fontId="9" fillId="0" borderId="30" xfId="0" applyFont="1" applyBorder="1" applyAlignment="1">
      <alignment horizontal="center" vertical="center" wrapText="1"/>
    </xf>
    <xf numFmtId="165" fontId="8" fillId="0" borderId="18" xfId="0" applyNumberFormat="1" applyFont="1" applyBorder="1" applyAlignment="1">
      <alignment horizontal="center" vertical="center" wrapText="1"/>
    </xf>
    <xf numFmtId="165" fontId="8" fillId="0" borderId="20" xfId="0" applyNumberFormat="1" applyFont="1" applyBorder="1" applyAlignment="1">
      <alignment horizontal="center" vertical="center" wrapText="1"/>
    </xf>
    <xf numFmtId="172" fontId="10" fillId="33" borderId="38" xfId="0" applyNumberFormat="1" applyFont="1" applyFill="1" applyBorder="1" applyAlignment="1">
      <alignment horizontal="center" vertical="center" wrapText="1"/>
    </xf>
    <xf numFmtId="0" fontId="9" fillId="33" borderId="39" xfId="0" applyFont="1" applyFill="1" applyBorder="1" applyAlignment="1">
      <alignment horizontal="center" vertical="center" wrapText="1"/>
    </xf>
    <xf numFmtId="172" fontId="0" fillId="0" borderId="16" xfId="0" applyNumberFormat="1" applyBorder="1" applyAlignment="1">
      <alignment horizontal="center" vertical="center"/>
    </xf>
    <xf numFmtId="172" fontId="0" fillId="0" borderId="19" xfId="0" applyNumberFormat="1" applyBorder="1" applyAlignment="1">
      <alignment horizontal="center" vertical="center"/>
    </xf>
    <xf numFmtId="172" fontId="0" fillId="0" borderId="21" xfId="0" applyNumberFormat="1" applyBorder="1" applyAlignment="1">
      <alignment horizontal="center" vertical="center"/>
    </xf>
    <xf numFmtId="172" fontId="0" fillId="0" borderId="24" xfId="0" applyNumberFormat="1" applyBorder="1" applyAlignment="1">
      <alignment horizontal="center" vertical="center"/>
    </xf>
    <xf numFmtId="0" fontId="0" fillId="0" borderId="0" xfId="0" applyFill="1" applyAlignment="1">
      <alignment/>
    </xf>
    <xf numFmtId="0" fontId="18" fillId="33" borderId="39" xfId="0" applyFont="1" applyFill="1" applyBorder="1" applyAlignment="1">
      <alignment horizontal="center" vertical="center" wrapText="1"/>
    </xf>
    <xf numFmtId="172" fontId="18" fillId="33" borderId="38" xfId="0" applyNumberFormat="1" applyFont="1" applyFill="1" applyBorder="1" applyAlignment="1">
      <alignment horizontal="center" vertical="center" wrapText="1"/>
    </xf>
    <xf numFmtId="0" fontId="6" fillId="0" borderId="40" xfId="0" applyFont="1" applyFill="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3" fontId="6" fillId="0" borderId="12" xfId="0" applyNumberFormat="1" applyFont="1" applyBorder="1" applyAlignment="1">
      <alignment wrapText="1"/>
    </xf>
    <xf numFmtId="165" fontId="0" fillId="0" borderId="21" xfId="0" applyNumberFormat="1" applyBorder="1" applyAlignment="1">
      <alignment/>
    </xf>
    <xf numFmtId="165" fontId="0" fillId="0" borderId="24" xfId="0" applyNumberFormat="1" applyBorder="1" applyAlignment="1">
      <alignment/>
    </xf>
    <xf numFmtId="165" fontId="0" fillId="0" borderId="0" xfId="0" applyNumberFormat="1" applyFill="1" applyAlignment="1">
      <alignment/>
    </xf>
    <xf numFmtId="172" fontId="0" fillId="0" borderId="0" xfId="0" applyNumberFormat="1" applyFill="1" applyAlignment="1">
      <alignment/>
    </xf>
    <xf numFmtId="165" fontId="0" fillId="0" borderId="0" xfId="0" applyNumberFormat="1" applyFill="1" applyBorder="1" applyAlignment="1">
      <alignment/>
    </xf>
    <xf numFmtId="0" fontId="18" fillId="0" borderId="0" xfId="0" applyFont="1" applyFill="1" applyBorder="1" applyAlignment="1">
      <alignment horizontal="center" vertical="center" wrapText="1"/>
    </xf>
    <xf numFmtId="165" fontId="0" fillId="0" borderId="0" xfId="0" applyNumberFormat="1" applyFill="1" applyBorder="1" applyAlignment="1">
      <alignment horizontal="center" vertical="center"/>
    </xf>
    <xf numFmtId="0" fontId="0" fillId="0" borderId="0" xfId="0" applyFill="1" applyBorder="1" applyAlignment="1">
      <alignment horizontal="center" vertical="center"/>
    </xf>
    <xf numFmtId="3" fontId="0" fillId="0" borderId="0" xfId="0" applyNumberFormat="1" applyFill="1" applyBorder="1" applyAlignment="1">
      <alignment horizontal="center" vertical="center"/>
    </xf>
    <xf numFmtId="167" fontId="0" fillId="0" borderId="0" xfId="0" applyNumberFormat="1" applyFill="1" applyBorder="1" applyAlignment="1">
      <alignment horizontal="center" vertical="center"/>
    </xf>
    <xf numFmtId="0" fontId="6" fillId="0" borderId="0" xfId="0" applyFont="1" applyBorder="1" applyAlignment="1">
      <alignment wrapText="1"/>
    </xf>
    <xf numFmtId="0" fontId="10" fillId="33" borderId="22" xfId="0" applyFont="1" applyFill="1" applyBorder="1" applyAlignment="1">
      <alignment horizontal="center" vertical="center" wrapText="1"/>
    </xf>
    <xf numFmtId="165" fontId="9" fillId="33" borderId="22" xfId="0" applyNumberFormat="1" applyFont="1" applyFill="1" applyBorder="1" applyAlignment="1">
      <alignment horizontal="center" vertical="center" wrapText="1"/>
    </xf>
    <xf numFmtId="0" fontId="10" fillId="33" borderId="23" xfId="0" applyFont="1" applyFill="1" applyBorder="1" applyAlignment="1">
      <alignment horizontal="center" vertical="center" wrapText="1"/>
    </xf>
    <xf numFmtId="38" fontId="9" fillId="33" borderId="22" xfId="0" applyNumberFormat="1" applyFont="1" applyFill="1" applyBorder="1" applyAlignment="1">
      <alignment horizontal="center" vertical="center" wrapText="1"/>
    </xf>
    <xf numFmtId="165" fontId="21" fillId="0" borderId="16" xfId="0" applyNumberFormat="1" applyFont="1" applyBorder="1" applyAlignment="1">
      <alignment horizontal="center" vertical="center" wrapText="1"/>
    </xf>
    <xf numFmtId="165" fontId="21" fillId="0" borderId="16" xfId="0" applyNumberFormat="1" applyFont="1" applyFill="1" applyBorder="1" applyAlignment="1">
      <alignment horizontal="center" vertical="center" wrapText="1"/>
    </xf>
    <xf numFmtId="165" fontId="21" fillId="0" borderId="21" xfId="0" applyNumberFormat="1" applyFont="1" applyBorder="1" applyAlignment="1">
      <alignment horizontal="center" vertical="center" wrapText="1"/>
    </xf>
    <xf numFmtId="0" fontId="22" fillId="0" borderId="16" xfId="0" applyFont="1" applyBorder="1" applyAlignment="1">
      <alignment horizontal="center" vertical="center"/>
    </xf>
    <xf numFmtId="0" fontId="22" fillId="0" borderId="21" xfId="0" applyFont="1" applyBorder="1" applyAlignment="1">
      <alignment horizontal="center" vertical="center"/>
    </xf>
    <xf numFmtId="0" fontId="0" fillId="0" borderId="0" xfId="0" applyBorder="1" applyAlignment="1">
      <alignment vertical="center" wrapText="1"/>
    </xf>
    <xf numFmtId="0" fontId="8" fillId="0" borderId="41" xfId="0" applyFont="1" applyBorder="1" applyAlignment="1">
      <alignment horizontal="center" vertical="center" wrapText="1"/>
    </xf>
    <xf numFmtId="0" fontId="0" fillId="0" borderId="0" xfId="0" applyAlignment="1">
      <alignment wrapText="1"/>
    </xf>
    <xf numFmtId="0" fontId="23" fillId="0" borderId="0" xfId="0" applyFont="1" applyAlignment="1">
      <alignment/>
    </xf>
    <xf numFmtId="177" fontId="0" fillId="0" borderId="16" xfId="0" applyNumberFormat="1" applyBorder="1" applyAlignment="1">
      <alignment horizontal="center" vertical="center"/>
    </xf>
    <xf numFmtId="177" fontId="0" fillId="0" borderId="21" xfId="0" applyNumberFormat="1" applyBorder="1" applyAlignment="1">
      <alignment horizontal="center" vertical="center"/>
    </xf>
    <xf numFmtId="0" fontId="0" fillId="0" borderId="0" xfId="0" applyBorder="1" applyAlignment="1">
      <alignment wrapText="1"/>
    </xf>
    <xf numFmtId="9" fontId="22" fillId="0" borderId="16" xfId="0" applyNumberFormat="1" applyFont="1" applyBorder="1" applyAlignment="1">
      <alignment horizontal="center" vertical="center"/>
    </xf>
    <xf numFmtId="9" fontId="22" fillId="0" borderId="21" xfId="0" applyNumberFormat="1" applyFont="1" applyBorder="1" applyAlignment="1">
      <alignment horizontal="center" vertical="center"/>
    </xf>
    <xf numFmtId="9" fontId="25" fillId="0" borderId="16" xfId="0" applyNumberFormat="1" applyFont="1" applyBorder="1" applyAlignment="1">
      <alignment horizontal="center" vertical="center" wrapText="1"/>
    </xf>
    <xf numFmtId="0" fontId="25" fillId="0" borderId="16" xfId="0" applyFont="1" applyBorder="1" applyAlignment="1">
      <alignment horizontal="center" vertical="center" wrapText="1"/>
    </xf>
    <xf numFmtId="9" fontId="26" fillId="0" borderId="42" xfId="0" applyNumberFormat="1" applyFont="1" applyFill="1" applyBorder="1" applyAlignment="1">
      <alignment horizontal="center" vertical="center" wrapText="1"/>
    </xf>
    <xf numFmtId="0" fontId="1" fillId="0" borderId="18" xfId="0" applyFont="1" applyBorder="1" applyAlignment="1">
      <alignment horizontal="center" vertical="center"/>
    </xf>
    <xf numFmtId="0" fontId="12" fillId="0" borderId="42" xfId="0" applyFont="1" applyBorder="1" applyAlignment="1">
      <alignment/>
    </xf>
    <xf numFmtId="0" fontId="12" fillId="0" borderId="0" xfId="0" applyFont="1" applyBorder="1" applyAlignment="1">
      <alignment/>
    </xf>
    <xf numFmtId="0" fontId="10" fillId="33" borderId="35" xfId="0" applyFont="1" applyFill="1" applyBorder="1" applyAlignment="1">
      <alignment vertical="center" wrapText="1"/>
    </xf>
    <xf numFmtId="0" fontId="6" fillId="0" borderId="43" xfId="0" applyFont="1" applyBorder="1" applyAlignment="1">
      <alignment horizontal="left" vertical="center" wrapText="1"/>
    </xf>
    <xf numFmtId="0" fontId="9" fillId="0" borderId="43" xfId="0" applyFont="1" applyBorder="1" applyAlignment="1">
      <alignment horizontal="left" vertical="center" wrapText="1"/>
    </xf>
    <xf numFmtId="0" fontId="8" fillId="0" borderId="43" xfId="0" applyFont="1" applyBorder="1" applyAlignment="1">
      <alignment horizontal="left" vertical="center" wrapText="1"/>
    </xf>
    <xf numFmtId="0" fontId="10" fillId="0" borderId="43" xfId="0" applyFont="1" applyBorder="1" applyAlignment="1">
      <alignment horizontal="left" vertical="center" wrapText="1"/>
    </xf>
    <xf numFmtId="0" fontId="9" fillId="33" borderId="44"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9" fillId="33" borderId="27" xfId="0" applyFont="1" applyFill="1" applyBorder="1" applyAlignment="1">
      <alignment vertical="center" wrapText="1"/>
    </xf>
    <xf numFmtId="0" fontId="10" fillId="0" borderId="45"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33" borderId="43" xfId="0" applyFont="1" applyFill="1" applyBorder="1" applyAlignment="1">
      <alignment horizontal="left" vertical="center" wrapText="1"/>
    </xf>
    <xf numFmtId="0" fontId="9" fillId="34" borderId="44" xfId="0" applyFont="1" applyFill="1" applyBorder="1" applyAlignment="1">
      <alignment horizontal="left" vertical="center" wrapText="1"/>
    </xf>
    <xf numFmtId="0" fontId="9" fillId="0" borderId="46" xfId="0" applyFont="1" applyBorder="1" applyAlignment="1">
      <alignment horizontal="left" vertical="center" wrapText="1"/>
    </xf>
    <xf numFmtId="0" fontId="9" fillId="0" borderId="41" xfId="0" applyFont="1" applyBorder="1" applyAlignment="1">
      <alignment horizontal="center" vertical="center" wrapText="1"/>
    </xf>
    <xf numFmtId="0" fontId="8" fillId="0" borderId="41" xfId="0" applyFont="1" applyBorder="1" applyAlignment="1">
      <alignment horizontal="center" vertical="center"/>
    </xf>
    <xf numFmtId="0" fontId="9" fillId="33" borderId="47" xfId="0" applyFont="1" applyFill="1" applyBorder="1" applyAlignment="1">
      <alignment horizontal="center" vertical="center" wrapText="1"/>
    </xf>
    <xf numFmtId="0" fontId="9" fillId="0" borderId="44" xfId="0" applyFont="1" applyBorder="1" applyAlignment="1">
      <alignment horizontal="left" vertical="center" wrapText="1"/>
    </xf>
    <xf numFmtId="0" fontId="11" fillId="0" borderId="30" xfId="0" applyFont="1" applyBorder="1" applyAlignment="1">
      <alignment horizontal="left" vertical="center" wrapText="1"/>
    </xf>
    <xf numFmtId="0" fontId="11" fillId="0" borderId="45" xfId="0" applyFont="1" applyBorder="1" applyAlignment="1">
      <alignment horizontal="left" vertical="center" wrapText="1"/>
    </xf>
    <xf numFmtId="0" fontId="7" fillId="0" borderId="22"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9" fillId="33" borderId="48" xfId="0" applyFont="1" applyFill="1" applyBorder="1" applyAlignment="1">
      <alignment vertical="center" wrapText="1"/>
    </xf>
    <xf numFmtId="0" fontId="9" fillId="33" borderId="49" xfId="0" applyFont="1" applyFill="1" applyBorder="1" applyAlignment="1">
      <alignment vertical="center" wrapText="1"/>
    </xf>
    <xf numFmtId="0" fontId="0" fillId="33" borderId="49" xfId="0" applyFill="1" applyBorder="1" applyAlignment="1">
      <alignment vertical="center" wrapText="1"/>
    </xf>
    <xf numFmtId="0" fontId="0" fillId="33" borderId="50" xfId="0" applyFill="1" applyBorder="1" applyAlignment="1">
      <alignment vertical="center" wrapText="1"/>
    </xf>
    <xf numFmtId="172" fontId="9" fillId="0" borderId="21" xfId="0" applyNumberFormat="1" applyFont="1" applyBorder="1" applyAlignment="1">
      <alignment horizontal="center" vertical="center" wrapText="1"/>
    </xf>
    <xf numFmtId="172" fontId="9" fillId="0" borderId="24" xfId="0" applyNumberFormat="1" applyFont="1" applyBorder="1" applyAlignment="1">
      <alignment horizontal="center" vertical="center" wrapText="1"/>
    </xf>
    <xf numFmtId="0" fontId="11" fillId="0" borderId="22" xfId="0" applyFont="1" applyBorder="1" applyAlignment="1">
      <alignment horizontal="left" vertical="center" wrapText="1"/>
    </xf>
    <xf numFmtId="0" fontId="9" fillId="0" borderId="21" xfId="0" applyFont="1" applyBorder="1" applyAlignment="1">
      <alignment horizontal="left" vertical="center" wrapText="1"/>
    </xf>
    <xf numFmtId="165" fontId="10" fillId="0" borderId="24" xfId="0" applyNumberFormat="1" applyFont="1" applyBorder="1" applyAlignment="1">
      <alignment horizontal="center" vertical="center" wrapText="1"/>
    </xf>
    <xf numFmtId="0" fontId="9" fillId="0" borderId="13" xfId="0" applyFont="1" applyBorder="1" applyAlignment="1">
      <alignment horizontal="left" vertical="center" wrapText="1"/>
    </xf>
    <xf numFmtId="0" fontId="9" fillId="0" borderId="0" xfId="0" applyFont="1" applyBorder="1" applyAlignment="1">
      <alignment horizontal="left" vertical="center" wrapText="1"/>
    </xf>
    <xf numFmtId="172" fontId="9" fillId="0" borderId="0" xfId="0" applyNumberFormat="1" applyFont="1" applyBorder="1" applyAlignment="1">
      <alignment horizontal="center" vertical="center" wrapText="1"/>
    </xf>
    <xf numFmtId="172" fontId="9" fillId="0" borderId="32" xfId="0" applyNumberFormat="1" applyFont="1" applyBorder="1" applyAlignment="1">
      <alignment horizontal="center" vertical="center" wrapText="1"/>
    </xf>
    <xf numFmtId="167" fontId="8" fillId="0" borderId="19" xfId="0" applyNumberFormat="1" applyFont="1" applyBorder="1" applyAlignment="1">
      <alignment horizontal="center" vertical="center" wrapText="1"/>
    </xf>
    <xf numFmtId="0" fontId="10" fillId="0" borderId="16" xfId="0" applyFont="1" applyFill="1" applyBorder="1" applyAlignment="1">
      <alignment horizontal="center" vertical="center" wrapText="1"/>
    </xf>
    <xf numFmtId="0" fontId="6" fillId="33" borderId="16" xfId="0" applyFont="1" applyFill="1" applyBorder="1" applyAlignment="1">
      <alignment horizontal="center" vertical="center" wrapText="1"/>
    </xf>
    <xf numFmtId="165" fontId="8" fillId="33" borderId="16" xfId="0" applyNumberFormat="1" applyFont="1" applyFill="1" applyBorder="1" applyAlignment="1">
      <alignment horizontal="center" vertical="center" wrapText="1"/>
    </xf>
    <xf numFmtId="0" fontId="8" fillId="0" borderId="31" xfId="0" applyFont="1" applyBorder="1" applyAlignment="1">
      <alignment horizontal="left" vertical="center" wrapText="1"/>
    </xf>
    <xf numFmtId="0" fontId="8" fillId="0" borderId="45" xfId="0" applyFont="1" applyBorder="1" applyAlignment="1">
      <alignment horizontal="left" vertical="center" wrapText="1"/>
    </xf>
    <xf numFmtId="0" fontId="8" fillId="0" borderId="44" xfId="0" applyFont="1" applyBorder="1" applyAlignment="1">
      <alignment horizontal="left" vertical="center" wrapText="1"/>
    </xf>
    <xf numFmtId="0" fontId="9" fillId="33" borderId="27" xfId="0" applyFont="1" applyFill="1" applyBorder="1" applyAlignment="1">
      <alignment horizontal="left" vertical="center" wrapText="1"/>
    </xf>
    <xf numFmtId="0" fontId="9" fillId="0" borderId="30" xfId="0" applyFont="1" applyBorder="1" applyAlignment="1">
      <alignment horizontal="left" vertical="center" wrapText="1"/>
    </xf>
    <xf numFmtId="0" fontId="9" fillId="0" borderId="45" xfId="0" applyFont="1" applyBorder="1" applyAlignment="1">
      <alignment horizontal="left" vertical="center" wrapText="1"/>
    </xf>
    <xf numFmtId="0" fontId="9" fillId="33" borderId="51" xfId="0" applyFont="1" applyFill="1" applyBorder="1" applyAlignment="1">
      <alignment horizontal="left" vertical="center" wrapText="1"/>
    </xf>
    <xf numFmtId="0" fontId="9" fillId="33" borderId="52" xfId="0" applyFont="1" applyFill="1" applyBorder="1" applyAlignment="1">
      <alignment horizontal="left" vertical="center" wrapText="1"/>
    </xf>
    <xf numFmtId="172" fontId="9" fillId="33" borderId="52" xfId="0" applyNumberFormat="1" applyFont="1" applyFill="1" applyBorder="1" applyAlignment="1">
      <alignment horizontal="center" vertical="center" wrapText="1"/>
    </xf>
    <xf numFmtId="172" fontId="9" fillId="33" borderId="53" xfId="0" applyNumberFormat="1" applyFont="1" applyFill="1" applyBorder="1" applyAlignment="1">
      <alignment horizontal="center" vertical="center" wrapText="1"/>
    </xf>
    <xf numFmtId="0" fontId="27" fillId="0" borderId="0" xfId="0" applyFont="1" applyBorder="1" applyAlignment="1">
      <alignment horizontal="left" wrapText="1"/>
    </xf>
    <xf numFmtId="165" fontId="1" fillId="0" borderId="0" xfId="0" applyNumberFormat="1" applyFont="1" applyBorder="1" applyAlignment="1">
      <alignment horizontal="center" vertical="center"/>
    </xf>
    <xf numFmtId="165" fontId="1" fillId="0" borderId="0" xfId="0" applyNumberFormat="1" applyFont="1" applyBorder="1" applyAlignment="1">
      <alignment horizontal="center"/>
    </xf>
    <xf numFmtId="0" fontId="20" fillId="33" borderId="54" xfId="0" applyFont="1" applyFill="1" applyBorder="1" applyAlignment="1">
      <alignment horizontal="center" vertical="center"/>
    </xf>
    <xf numFmtId="0" fontId="1" fillId="0" borderId="41" xfId="0" applyFont="1" applyBorder="1" applyAlignment="1">
      <alignment horizontal="center" vertical="center"/>
    </xf>
    <xf numFmtId="0" fontId="1" fillId="0" borderId="43" xfId="0" applyFont="1" applyBorder="1" applyAlignment="1">
      <alignment horizontal="center" vertical="center"/>
    </xf>
    <xf numFmtId="0" fontId="9" fillId="33" borderId="26"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6" fillId="0" borderId="55" xfId="0" applyFont="1" applyBorder="1" applyAlignment="1">
      <alignment horizontal="center" vertical="center" wrapText="1"/>
    </xf>
    <xf numFmtId="0" fontId="0" fillId="0" borderId="56" xfId="0" applyBorder="1" applyAlignment="1">
      <alignment horizontal="center" vertical="center" wrapText="1"/>
    </xf>
    <xf numFmtId="0" fontId="0" fillId="0" borderId="52" xfId="0" applyBorder="1" applyAlignment="1">
      <alignment horizontal="center" vertical="center" wrapText="1"/>
    </xf>
    <xf numFmtId="0" fontId="0" fillId="0" borderId="25" xfId="0" applyBorder="1" applyAlignment="1">
      <alignment horizontal="center" vertical="center" wrapText="1"/>
    </xf>
    <xf numFmtId="0" fontId="1" fillId="0" borderId="48" xfId="0" applyFont="1"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0" fontId="0" fillId="0" borderId="13" xfId="0" applyBorder="1" applyAlignment="1">
      <alignment vertical="center" wrapText="1"/>
    </xf>
    <xf numFmtId="0" fontId="0" fillId="0" borderId="0" xfId="0" applyBorder="1" applyAlignment="1">
      <alignment vertical="center" wrapText="1"/>
    </xf>
    <xf numFmtId="0" fontId="0" fillId="0" borderId="32"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33" xfId="0" applyBorder="1" applyAlignment="1">
      <alignment vertical="center" wrapText="1"/>
    </xf>
    <xf numFmtId="0" fontId="18" fillId="0" borderId="26"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26" xfId="0" applyBorder="1" applyAlignment="1">
      <alignment wrapText="1"/>
    </xf>
    <xf numFmtId="0" fontId="0" fillId="0" borderId="27" xfId="0" applyBorder="1" applyAlignment="1">
      <alignment wrapText="1"/>
    </xf>
    <xf numFmtId="0" fontId="0" fillId="0" borderId="28" xfId="0" applyBorder="1" applyAlignment="1">
      <alignment wrapText="1"/>
    </xf>
    <xf numFmtId="0" fontId="24" fillId="0" borderId="0" xfId="0" applyFont="1" applyAlignment="1">
      <alignment wrapText="1"/>
    </xf>
    <xf numFmtId="0" fontId="0" fillId="0" borderId="48" xfId="0" applyBorder="1" applyAlignment="1">
      <alignment wrapText="1"/>
    </xf>
    <xf numFmtId="0" fontId="0" fillId="0" borderId="49" xfId="0" applyBorder="1" applyAlignment="1">
      <alignment wrapText="1"/>
    </xf>
    <xf numFmtId="0" fontId="0" fillId="0" borderId="50" xfId="0" applyBorder="1" applyAlignment="1">
      <alignment wrapText="1"/>
    </xf>
    <xf numFmtId="0" fontId="0" fillId="0" borderId="13" xfId="0" applyBorder="1" applyAlignment="1">
      <alignment wrapText="1"/>
    </xf>
    <xf numFmtId="0" fontId="0" fillId="0" borderId="0" xfId="0" applyBorder="1" applyAlignment="1">
      <alignment wrapText="1"/>
    </xf>
    <xf numFmtId="0" fontId="0" fillId="0" borderId="32"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33" xfId="0" applyBorder="1" applyAlignment="1">
      <alignment wrapText="1"/>
    </xf>
    <xf numFmtId="0" fontId="9" fillId="33" borderId="48" xfId="0" applyFont="1" applyFill="1" applyBorder="1" applyAlignment="1">
      <alignment horizontal="center" vertical="center" wrapText="1"/>
    </xf>
    <xf numFmtId="0" fontId="9" fillId="33" borderId="49" xfId="0" applyFont="1" applyFill="1" applyBorder="1" applyAlignment="1">
      <alignment horizontal="center" vertical="center" wrapText="1"/>
    </xf>
    <xf numFmtId="0" fontId="0" fillId="33" borderId="50" xfId="0" applyFill="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45" xfId="0" applyFont="1" applyBorder="1" applyAlignment="1">
      <alignment horizontal="center" vertical="center"/>
    </xf>
    <xf numFmtId="0" fontId="8" fillId="0" borderId="57" xfId="0" applyFont="1" applyBorder="1" applyAlignment="1">
      <alignment horizontal="center" vertical="center"/>
    </xf>
    <xf numFmtId="0" fontId="8" fillId="0" borderId="41" xfId="0" applyFont="1" applyBorder="1" applyAlignment="1">
      <alignment horizontal="center" vertical="center"/>
    </xf>
    <xf numFmtId="0" fontId="8" fillId="0" borderId="43" xfId="0" applyFont="1" applyBorder="1" applyAlignment="1">
      <alignment horizontal="center" vertical="center"/>
    </xf>
    <xf numFmtId="0" fontId="8" fillId="0" borderId="54"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25" xfId="0" applyFont="1" applyBorder="1" applyAlignment="1">
      <alignment horizontal="center" vertical="center" wrapText="1"/>
    </xf>
    <xf numFmtId="165" fontId="9" fillId="33" borderId="34" xfId="0" applyNumberFormat="1"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165" fontId="8" fillId="0" borderId="57" xfId="0" applyNumberFormat="1" applyFont="1" applyBorder="1" applyAlignment="1">
      <alignment horizontal="center" vertical="center" wrapText="1"/>
    </xf>
    <xf numFmtId="0" fontId="0" fillId="0" borderId="41" xfId="0" applyBorder="1" applyAlignment="1">
      <alignment horizontal="center" vertical="center"/>
    </xf>
    <xf numFmtId="0" fontId="0" fillId="0" borderId="43" xfId="0" applyBorder="1" applyAlignment="1">
      <alignment horizontal="center" vertical="center"/>
    </xf>
    <xf numFmtId="165" fontId="8" fillId="0" borderId="57" xfId="0" applyNumberFormat="1" applyFont="1" applyBorder="1" applyAlignment="1">
      <alignment horizontal="center" vertical="center"/>
    </xf>
    <xf numFmtId="165" fontId="8" fillId="0" borderId="41" xfId="0" applyNumberFormat="1" applyFont="1" applyBorder="1" applyAlignment="1">
      <alignment horizontal="center" vertical="center" wrapText="1"/>
    </xf>
    <xf numFmtId="165" fontId="8" fillId="0" borderId="43" xfId="0" applyNumberFormat="1" applyFont="1" applyBorder="1" applyAlignment="1">
      <alignment horizontal="center" vertical="center" wrapText="1"/>
    </xf>
    <xf numFmtId="165" fontId="9" fillId="33" borderId="58" xfId="0" applyNumberFormat="1" applyFont="1" applyFill="1" applyBorder="1" applyAlignment="1">
      <alignment horizontal="center" vertical="center" wrapText="1"/>
    </xf>
    <xf numFmtId="165" fontId="9" fillId="33" borderId="47" xfId="0" applyNumberFormat="1" applyFont="1" applyFill="1" applyBorder="1" applyAlignment="1">
      <alignment horizontal="center" vertical="center" wrapText="1"/>
    </xf>
    <xf numFmtId="165" fontId="9" fillId="33" borderId="44" xfId="0" applyNumberFormat="1" applyFont="1" applyFill="1" applyBorder="1" applyAlignment="1">
      <alignment horizontal="center" vertical="center" wrapText="1"/>
    </xf>
    <xf numFmtId="0" fontId="6" fillId="0" borderId="58" xfId="0" applyFont="1" applyBorder="1" applyAlignment="1">
      <alignment horizontal="center" vertical="center" wrapText="1"/>
    </xf>
    <xf numFmtId="0" fontId="6" fillId="0" borderId="47" xfId="0" applyFont="1" applyBorder="1" applyAlignment="1">
      <alignment horizontal="center" vertical="center" wrapText="1"/>
    </xf>
    <xf numFmtId="0" fontId="0" fillId="0" borderId="47" xfId="0" applyBorder="1" applyAlignment="1">
      <alignment wrapText="1"/>
    </xf>
    <xf numFmtId="0" fontId="0" fillId="0" borderId="59" xfId="0" applyBorder="1" applyAlignment="1">
      <alignment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33" xfId="0" applyBorder="1" applyAlignment="1">
      <alignment horizontal="left" vertical="center" wrapText="1"/>
    </xf>
    <xf numFmtId="0" fontId="8" fillId="0" borderId="60"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45" xfId="0" applyFont="1" applyBorder="1" applyAlignment="1">
      <alignment horizontal="center" vertical="center" wrapText="1"/>
    </xf>
    <xf numFmtId="0" fontId="9" fillId="33" borderId="30" xfId="0" applyFont="1" applyFill="1" applyBorder="1" applyAlignment="1">
      <alignment horizontal="center" vertical="center" wrapText="1"/>
    </xf>
    <xf numFmtId="0" fontId="9" fillId="33" borderId="45"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0" fillId="33" borderId="22" xfId="0" applyFill="1" applyBorder="1" applyAlignment="1">
      <alignment horizontal="center" vertical="center" wrapText="1"/>
    </xf>
    <xf numFmtId="0" fontId="0" fillId="33" borderId="23" xfId="0" applyFill="1" applyBorder="1" applyAlignment="1">
      <alignment horizontal="center" vertical="center" wrapText="1"/>
    </xf>
    <xf numFmtId="0" fontId="8" fillId="0" borderId="48" xfId="0" applyFont="1" applyBorder="1" applyAlignment="1">
      <alignment horizontal="left" vertical="center" wrapText="1"/>
    </xf>
    <xf numFmtId="0" fontId="8" fillId="0" borderId="49" xfId="0" applyFont="1" applyBorder="1" applyAlignment="1">
      <alignment horizontal="left" vertical="center" wrapText="1"/>
    </xf>
    <xf numFmtId="0" fontId="8" fillId="0" borderId="50" xfId="0" applyFont="1" applyBorder="1" applyAlignment="1">
      <alignment horizontal="left" vertical="center" wrapText="1"/>
    </xf>
    <xf numFmtId="0" fontId="8" fillId="0" borderId="13" xfId="0" applyFont="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33" xfId="0" applyFont="1" applyBorder="1" applyAlignment="1">
      <alignment horizontal="left" vertical="center" wrapText="1"/>
    </xf>
    <xf numFmtId="0" fontId="1" fillId="33" borderId="48" xfId="0" applyFont="1" applyFill="1"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48" xfId="0"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H39"/>
  <sheetViews>
    <sheetView workbookViewId="0" topLeftCell="A1">
      <selection activeCell="G22" sqref="G22"/>
    </sheetView>
  </sheetViews>
  <sheetFormatPr defaultColWidth="11.00390625" defaultRowHeight="12.75"/>
  <cols>
    <col min="2" max="2" width="24.25390625" style="0" customWidth="1"/>
  </cols>
  <sheetData>
    <row r="2" spans="2:6" ht="18">
      <c r="B2" s="299" t="s">
        <v>293</v>
      </c>
      <c r="C2" s="300"/>
      <c r="D2" s="300"/>
      <c r="E2" s="300"/>
      <c r="F2" s="301"/>
    </row>
    <row r="3" spans="2:6" ht="15">
      <c r="B3" s="41"/>
      <c r="C3" s="60" t="s">
        <v>89</v>
      </c>
      <c r="D3" s="60" t="s">
        <v>90</v>
      </c>
      <c r="E3" s="60" t="s">
        <v>91</v>
      </c>
      <c r="F3" s="60" t="s">
        <v>92</v>
      </c>
    </row>
    <row r="4" spans="2:6" ht="15">
      <c r="B4" s="149" t="s">
        <v>93</v>
      </c>
      <c r="C4" s="41"/>
      <c r="D4" s="41"/>
      <c r="E4" s="41"/>
      <c r="F4" s="41"/>
    </row>
    <row r="5" spans="2:6" ht="12.75">
      <c r="B5" s="150" t="s">
        <v>94</v>
      </c>
      <c r="C5" s="41">
        <v>34</v>
      </c>
      <c r="D5" s="41" t="s">
        <v>95</v>
      </c>
      <c r="E5" s="61">
        <v>25</v>
      </c>
      <c r="F5" s="61">
        <v>850</v>
      </c>
    </row>
    <row r="6" spans="2:6" ht="12.75">
      <c r="B6" s="150" t="s">
        <v>172</v>
      </c>
      <c r="C6" s="41">
        <v>45</v>
      </c>
      <c r="D6" s="41" t="s">
        <v>95</v>
      </c>
      <c r="E6" s="61">
        <v>20</v>
      </c>
      <c r="F6" s="61">
        <v>900</v>
      </c>
    </row>
    <row r="7" spans="2:8" ht="12.75">
      <c r="B7" s="150" t="s">
        <v>60</v>
      </c>
      <c r="C7" s="41">
        <v>34</v>
      </c>
      <c r="D7" s="41" t="s">
        <v>95</v>
      </c>
      <c r="E7" s="61">
        <v>10</v>
      </c>
      <c r="F7" s="61">
        <v>340</v>
      </c>
      <c r="H7" t="s">
        <v>45</v>
      </c>
    </row>
    <row r="8" spans="2:6" ht="12.75">
      <c r="B8" s="150" t="s">
        <v>61</v>
      </c>
      <c r="C8" s="41">
        <v>45</v>
      </c>
      <c r="D8" s="41" t="s">
        <v>95</v>
      </c>
      <c r="E8" s="61">
        <v>3.72</v>
      </c>
      <c r="F8" s="61">
        <v>167.4</v>
      </c>
    </row>
    <row r="9" spans="2:6" ht="12.75">
      <c r="B9" s="150" t="s">
        <v>62</v>
      </c>
      <c r="C9" s="41">
        <v>5000</v>
      </c>
      <c r="D9" s="41" t="s">
        <v>134</v>
      </c>
      <c r="E9" s="61">
        <v>0.2</v>
      </c>
      <c r="F9" s="61">
        <v>980</v>
      </c>
    </row>
    <row r="10" spans="2:6" ht="12.75">
      <c r="B10" s="150" t="s">
        <v>135</v>
      </c>
      <c r="C10" s="41">
        <v>2000</v>
      </c>
      <c r="D10" s="41" t="s">
        <v>134</v>
      </c>
      <c r="E10" s="61">
        <v>0.14</v>
      </c>
      <c r="F10" s="61">
        <v>280</v>
      </c>
    </row>
    <row r="11" spans="2:6" ht="12.75">
      <c r="B11" s="150" t="s">
        <v>136</v>
      </c>
      <c r="C11" s="41">
        <v>350</v>
      </c>
      <c r="D11" s="41" t="s">
        <v>95</v>
      </c>
      <c r="E11" s="61">
        <v>1.13</v>
      </c>
      <c r="F11" s="61">
        <v>395.5</v>
      </c>
    </row>
    <row r="12" spans="2:6" ht="12.75">
      <c r="B12" s="150" t="s">
        <v>137</v>
      </c>
      <c r="C12" s="41">
        <v>78</v>
      </c>
      <c r="D12" s="41" t="s">
        <v>95</v>
      </c>
      <c r="E12" s="61">
        <v>0.99</v>
      </c>
      <c r="F12" s="61">
        <v>77.22</v>
      </c>
    </row>
    <row r="13" spans="2:6" ht="12.75">
      <c r="B13" s="150" t="s">
        <v>145</v>
      </c>
      <c r="C13" s="41">
        <v>44</v>
      </c>
      <c r="D13" s="41" t="s">
        <v>95</v>
      </c>
      <c r="E13" s="61">
        <v>0.27</v>
      </c>
      <c r="F13" s="61">
        <v>11.88</v>
      </c>
    </row>
    <row r="14" spans="2:6" ht="12.75">
      <c r="B14" s="150" t="s">
        <v>284</v>
      </c>
      <c r="C14" s="41">
        <v>1</v>
      </c>
      <c r="D14" s="41" t="s">
        <v>95</v>
      </c>
      <c r="E14" s="41"/>
      <c r="F14" s="61">
        <v>165</v>
      </c>
    </row>
    <row r="15" spans="2:6" ht="12.75">
      <c r="B15" s="150" t="s">
        <v>138</v>
      </c>
      <c r="C15" s="41">
        <v>1</v>
      </c>
      <c r="D15" s="41" t="s">
        <v>95</v>
      </c>
      <c r="E15" s="41"/>
      <c r="F15" s="61">
        <v>228</v>
      </c>
    </row>
    <row r="16" spans="2:6" ht="12.75">
      <c r="B16" s="150" t="s">
        <v>139</v>
      </c>
      <c r="C16" s="41">
        <v>8</v>
      </c>
      <c r="D16" s="41" t="s">
        <v>229</v>
      </c>
      <c r="E16" s="61">
        <v>38</v>
      </c>
      <c r="F16" s="61">
        <v>304</v>
      </c>
    </row>
    <row r="17" spans="2:6" ht="15">
      <c r="B17" s="150"/>
      <c r="C17" s="41"/>
      <c r="D17" s="41"/>
      <c r="E17" s="41"/>
      <c r="F17" s="62">
        <v>4699</v>
      </c>
    </row>
    <row r="18" spans="2:6" ht="15">
      <c r="B18" s="149" t="s">
        <v>230</v>
      </c>
      <c r="C18" s="41"/>
      <c r="D18" s="41"/>
      <c r="E18" s="41"/>
      <c r="F18" s="41"/>
    </row>
    <row r="19" spans="2:6" ht="12.75">
      <c r="B19" s="150" t="s">
        <v>231</v>
      </c>
      <c r="C19" s="41">
        <v>1200</v>
      </c>
      <c r="D19" s="41" t="s">
        <v>95</v>
      </c>
      <c r="E19" s="61">
        <v>3.7</v>
      </c>
      <c r="F19" s="61">
        <v>4440</v>
      </c>
    </row>
    <row r="20" spans="2:6" ht="12.75">
      <c r="B20" s="150" t="s">
        <v>163</v>
      </c>
      <c r="C20" s="41">
        <v>1</v>
      </c>
      <c r="D20" s="41" t="s">
        <v>164</v>
      </c>
      <c r="E20" s="61">
        <v>500</v>
      </c>
      <c r="F20" s="61">
        <v>500</v>
      </c>
    </row>
    <row r="21" spans="2:6" ht="12.75">
      <c r="B21" s="150" t="s">
        <v>165</v>
      </c>
      <c r="C21" s="41">
        <v>20</v>
      </c>
      <c r="D21" s="41" t="s">
        <v>245</v>
      </c>
      <c r="E21" s="41"/>
      <c r="F21" s="61">
        <v>40</v>
      </c>
    </row>
    <row r="22" spans="2:6" ht="12.75">
      <c r="B22" s="150" t="s">
        <v>246</v>
      </c>
      <c r="C22" s="41">
        <v>1125</v>
      </c>
      <c r="D22" s="41" t="s">
        <v>95</v>
      </c>
      <c r="E22" s="61">
        <v>0.21</v>
      </c>
      <c r="F22" s="61">
        <v>236.25</v>
      </c>
    </row>
    <row r="23" spans="2:6" ht="12.75">
      <c r="B23" s="150" t="s">
        <v>281</v>
      </c>
      <c r="C23" s="41">
        <v>45</v>
      </c>
      <c r="D23" s="41" t="s">
        <v>282</v>
      </c>
      <c r="E23" s="61">
        <v>50</v>
      </c>
      <c r="F23" s="61">
        <v>2250</v>
      </c>
    </row>
    <row r="24" spans="2:6" ht="15">
      <c r="B24" s="150"/>
      <c r="C24" s="41"/>
      <c r="D24" s="41"/>
      <c r="E24" s="41"/>
      <c r="F24" s="62">
        <v>7466.25</v>
      </c>
    </row>
    <row r="25" spans="2:6" ht="15">
      <c r="B25" s="149" t="s">
        <v>283</v>
      </c>
      <c r="C25" s="41"/>
      <c r="D25" s="41"/>
      <c r="E25" s="41"/>
      <c r="F25" s="41"/>
    </row>
    <row r="26" spans="2:6" ht="12.75">
      <c r="B26" s="150" t="s">
        <v>131</v>
      </c>
      <c r="C26" s="41">
        <v>4600</v>
      </c>
      <c r="D26" s="41" t="s">
        <v>134</v>
      </c>
      <c r="E26" s="61">
        <v>0.3</v>
      </c>
      <c r="F26" s="61">
        <v>1380</v>
      </c>
    </row>
    <row r="27" spans="2:6" ht="12.75">
      <c r="B27" s="150" t="s">
        <v>7</v>
      </c>
      <c r="C27" s="41">
        <v>600</v>
      </c>
      <c r="D27" s="41" t="s">
        <v>134</v>
      </c>
      <c r="E27" s="61">
        <v>0.4</v>
      </c>
      <c r="F27" s="61">
        <v>240</v>
      </c>
    </row>
    <row r="28" spans="2:6" ht="12.75">
      <c r="B28" s="150" t="s">
        <v>140</v>
      </c>
      <c r="C28" s="41">
        <v>1</v>
      </c>
      <c r="D28" s="41" t="s">
        <v>95</v>
      </c>
      <c r="E28" s="61">
        <v>1.5</v>
      </c>
      <c r="F28" s="61">
        <v>1.5</v>
      </c>
    </row>
    <row r="29" spans="2:6" ht="12.75">
      <c r="B29" s="150" t="s">
        <v>141</v>
      </c>
      <c r="C29" s="41">
        <v>22</v>
      </c>
      <c r="D29" s="41" t="s">
        <v>95</v>
      </c>
      <c r="E29" s="61">
        <v>1.25</v>
      </c>
      <c r="F29" s="61">
        <v>27.5</v>
      </c>
    </row>
    <row r="30" spans="2:6" ht="12.75">
      <c r="B30" s="150" t="s">
        <v>218</v>
      </c>
      <c r="C30" s="41">
        <v>1</v>
      </c>
      <c r="D30" s="41" t="s">
        <v>95</v>
      </c>
      <c r="E30" s="61">
        <v>1.25</v>
      </c>
      <c r="F30" s="61">
        <v>1.25</v>
      </c>
    </row>
    <row r="31" spans="2:6" ht="12.75">
      <c r="B31" s="150" t="s">
        <v>63</v>
      </c>
      <c r="C31" s="41">
        <v>22</v>
      </c>
      <c r="D31" s="41" t="s">
        <v>95</v>
      </c>
      <c r="E31" s="61">
        <v>0.5</v>
      </c>
      <c r="F31" s="61">
        <v>11</v>
      </c>
    </row>
    <row r="32" spans="2:6" ht="12.75">
      <c r="B32" s="150" t="s">
        <v>64</v>
      </c>
      <c r="C32" s="41">
        <v>22</v>
      </c>
      <c r="D32" s="41" t="s">
        <v>95</v>
      </c>
      <c r="E32" s="61">
        <v>0.5</v>
      </c>
      <c r="F32" s="61">
        <v>11</v>
      </c>
    </row>
    <row r="33" spans="2:6" ht="12.75">
      <c r="B33" s="150" t="s">
        <v>219</v>
      </c>
      <c r="C33" s="41">
        <v>2</v>
      </c>
      <c r="D33" s="41" t="s">
        <v>95</v>
      </c>
      <c r="E33" s="61">
        <v>1.25</v>
      </c>
      <c r="F33" s="61">
        <v>2.5</v>
      </c>
    </row>
    <row r="34" spans="2:6" ht="12.75">
      <c r="B34" s="150" t="s">
        <v>220</v>
      </c>
      <c r="C34" s="41">
        <v>2</v>
      </c>
      <c r="D34" s="41" t="s">
        <v>95</v>
      </c>
      <c r="E34" s="61">
        <v>5</v>
      </c>
      <c r="F34" s="61">
        <v>10</v>
      </c>
    </row>
    <row r="35" spans="2:6" ht="12.75">
      <c r="B35" s="150" t="s">
        <v>221</v>
      </c>
      <c r="C35" s="41">
        <v>1</v>
      </c>
      <c r="D35" s="41" t="s">
        <v>95</v>
      </c>
      <c r="E35" s="61">
        <v>50</v>
      </c>
      <c r="F35" s="61">
        <v>50</v>
      </c>
    </row>
    <row r="36" spans="2:6" ht="12.75">
      <c r="B36" s="150" t="s">
        <v>222</v>
      </c>
      <c r="C36" s="41">
        <v>2</v>
      </c>
      <c r="D36" s="41" t="s">
        <v>95</v>
      </c>
      <c r="E36" s="61">
        <v>35</v>
      </c>
      <c r="F36" s="61">
        <v>70</v>
      </c>
    </row>
    <row r="37" spans="2:6" ht="15">
      <c r="B37" s="150"/>
      <c r="C37" s="41"/>
      <c r="D37" s="41"/>
      <c r="E37" s="41"/>
      <c r="F37" s="62">
        <v>1804.75</v>
      </c>
    </row>
    <row r="38" spans="2:6" ht="12.75">
      <c r="B38" s="150"/>
      <c r="C38" s="41"/>
      <c r="D38" s="41"/>
      <c r="E38" s="41"/>
      <c r="F38" s="41"/>
    </row>
    <row r="39" spans="2:6" ht="15">
      <c r="B39" s="151" t="s">
        <v>162</v>
      </c>
      <c r="C39" s="63"/>
      <c r="D39" s="63"/>
      <c r="E39" s="63"/>
      <c r="F39" s="64">
        <v>13970</v>
      </c>
    </row>
  </sheetData>
  <sheetProtection/>
  <mergeCells count="1">
    <mergeCell ref="B2:F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K24"/>
  <sheetViews>
    <sheetView zoomScale="125" zoomScaleNormal="125" workbookViewId="0" topLeftCell="A1">
      <selection activeCell="H16" sqref="H16"/>
    </sheetView>
  </sheetViews>
  <sheetFormatPr defaultColWidth="11.00390625" defaultRowHeight="12.75"/>
  <cols>
    <col min="1" max="1" width="3.25390625" style="0" customWidth="1"/>
    <col min="2" max="2" width="25.75390625" style="0" customWidth="1"/>
    <col min="3" max="3" width="11.625" style="0" customWidth="1"/>
  </cols>
  <sheetData>
    <row r="1" ht="21" thickBot="1">
      <c r="B1" s="235" t="s">
        <v>19</v>
      </c>
    </row>
    <row r="2" spans="2:5" ht="12.75">
      <c r="B2" s="309" t="s">
        <v>21</v>
      </c>
      <c r="C2" s="310"/>
      <c r="D2" s="310"/>
      <c r="E2" s="311"/>
    </row>
    <row r="3" spans="2:5" ht="12.75">
      <c r="B3" s="312"/>
      <c r="C3" s="313"/>
      <c r="D3" s="313"/>
      <c r="E3" s="314"/>
    </row>
    <row r="4" spans="2:5" ht="12.75">
      <c r="B4" s="312"/>
      <c r="C4" s="313"/>
      <c r="D4" s="313"/>
      <c r="E4" s="314"/>
    </row>
    <row r="5" spans="2:5" ht="12.75">
      <c r="B5" s="312"/>
      <c r="C5" s="313"/>
      <c r="D5" s="313"/>
      <c r="E5" s="314"/>
    </row>
    <row r="6" spans="2:5" ht="13.5" thickBot="1">
      <c r="B6" s="315"/>
      <c r="C6" s="316"/>
      <c r="D6" s="316"/>
      <c r="E6" s="317"/>
    </row>
    <row r="7" spans="2:5" ht="13.5" thickBot="1">
      <c r="B7" s="232"/>
      <c r="C7" s="232"/>
      <c r="D7" s="232"/>
      <c r="E7" s="232"/>
    </row>
    <row r="8" spans="2:7" ht="16.5" thickBot="1">
      <c r="B8" s="302" t="s">
        <v>125</v>
      </c>
      <c r="C8" s="303"/>
      <c r="D8" s="303"/>
      <c r="E8" s="303"/>
      <c r="F8" s="303"/>
      <c r="G8" s="304"/>
    </row>
    <row r="9" spans="2:11" ht="16.5" thickBot="1">
      <c r="B9" s="194" t="s">
        <v>29</v>
      </c>
      <c r="C9" s="47" t="s">
        <v>23</v>
      </c>
      <c r="D9" s="47" t="s">
        <v>46</v>
      </c>
      <c r="E9" s="47" t="s">
        <v>47</v>
      </c>
      <c r="F9" s="47" t="s">
        <v>48</v>
      </c>
      <c r="G9" s="48" t="s">
        <v>27</v>
      </c>
      <c r="H9" s="1"/>
      <c r="I9" s="1"/>
      <c r="J9" s="1"/>
      <c r="K9" s="1"/>
    </row>
    <row r="10" spans="2:11" ht="16.5" thickBot="1">
      <c r="B10" s="195" t="s">
        <v>106</v>
      </c>
      <c r="C10" s="305" t="s">
        <v>28</v>
      </c>
      <c r="D10" s="227">
        <v>0</v>
      </c>
      <c r="E10" s="227">
        <v>35000</v>
      </c>
      <c r="F10" s="227">
        <v>0</v>
      </c>
      <c r="G10" s="71"/>
      <c r="H10" s="1"/>
      <c r="I10" s="1"/>
      <c r="J10" s="1"/>
      <c r="K10" s="1"/>
    </row>
    <row r="11" spans="2:11" ht="16.5" thickBot="1">
      <c r="B11" s="195" t="s">
        <v>107</v>
      </c>
      <c r="C11" s="306"/>
      <c r="D11" s="227">
        <v>0</v>
      </c>
      <c r="E11" s="227">
        <v>2000</v>
      </c>
      <c r="F11" s="227">
        <v>0</v>
      </c>
      <c r="G11" s="71"/>
      <c r="H11" s="1"/>
      <c r="I11" s="1"/>
      <c r="J11" s="1"/>
      <c r="K11" s="1"/>
    </row>
    <row r="12" spans="2:11" ht="16.5" thickBot="1">
      <c r="B12" s="195" t="s">
        <v>167</v>
      </c>
      <c r="C12" s="306"/>
      <c r="D12" s="227">
        <v>10000</v>
      </c>
      <c r="E12" s="227">
        <v>0</v>
      </c>
      <c r="F12" s="227">
        <v>0</v>
      </c>
      <c r="G12" s="71"/>
      <c r="H12" s="1"/>
      <c r="I12" s="1"/>
      <c r="J12" s="1"/>
      <c r="K12" s="1"/>
    </row>
    <row r="13" spans="2:11" ht="16.5" thickBot="1">
      <c r="B13" s="195" t="s">
        <v>83</v>
      </c>
      <c r="C13" s="306"/>
      <c r="D13" s="227">
        <v>4000</v>
      </c>
      <c r="E13" s="227">
        <v>0</v>
      </c>
      <c r="F13" s="227">
        <v>0</v>
      </c>
      <c r="G13" s="71"/>
      <c r="H13" s="1"/>
      <c r="I13" s="1"/>
      <c r="J13" s="1"/>
      <c r="K13" s="1"/>
    </row>
    <row r="14" spans="2:11" ht="16.5" thickBot="1">
      <c r="B14" s="195" t="s">
        <v>22</v>
      </c>
      <c r="C14" s="306"/>
      <c r="D14" s="227">
        <v>0</v>
      </c>
      <c r="E14" s="227">
        <v>7500</v>
      </c>
      <c r="F14" s="227">
        <v>0</v>
      </c>
      <c r="G14" s="71"/>
      <c r="H14" s="1"/>
      <c r="I14" s="1"/>
      <c r="J14" s="1"/>
      <c r="K14" s="1"/>
    </row>
    <row r="15" spans="2:11" ht="16.5" thickBot="1">
      <c r="B15" s="195" t="s">
        <v>80</v>
      </c>
      <c r="C15" s="306"/>
      <c r="D15" s="228">
        <f>2500*'Net Income'!E22</f>
        <v>25000</v>
      </c>
      <c r="E15" s="228">
        <f>2500*'Net Income'!F22</f>
        <v>0</v>
      </c>
      <c r="F15" s="228">
        <f>2500*'Net Income'!G22</f>
        <v>0</v>
      </c>
      <c r="G15" s="71"/>
      <c r="H15" s="5"/>
      <c r="I15" s="1"/>
      <c r="J15" s="1"/>
      <c r="K15" s="1"/>
    </row>
    <row r="16" spans="2:11" ht="16.5" thickBot="1">
      <c r="B16" s="195" t="s">
        <v>56</v>
      </c>
      <c r="C16" s="306"/>
      <c r="D16" s="227">
        <f>(12000*('Net Income'!E22))</f>
        <v>120000</v>
      </c>
      <c r="E16" s="227">
        <f>12000*('Net Income'!F22)</f>
        <v>0</v>
      </c>
      <c r="F16" s="227">
        <f>12000*('Net Income'!G22)</f>
        <v>0</v>
      </c>
      <c r="G16" s="71"/>
      <c r="H16" s="1"/>
      <c r="I16" s="1"/>
      <c r="J16" s="1"/>
      <c r="K16" s="1"/>
    </row>
    <row r="17" spans="2:11" ht="16.5" thickBot="1">
      <c r="B17" s="195" t="s">
        <v>122</v>
      </c>
      <c r="C17" s="308"/>
      <c r="D17" s="227">
        <v>25000</v>
      </c>
      <c r="E17" s="227">
        <v>0</v>
      </c>
      <c r="F17" s="227">
        <v>0</v>
      </c>
      <c r="G17" s="71"/>
      <c r="H17" s="1"/>
      <c r="I17" s="1"/>
      <c r="J17" s="1"/>
      <c r="K17" s="1"/>
    </row>
    <row r="18" spans="2:11" ht="16.5" thickBot="1">
      <c r="B18" s="195" t="s">
        <v>116</v>
      </c>
      <c r="C18" s="305" t="s">
        <v>26</v>
      </c>
      <c r="D18" s="227">
        <v>0</v>
      </c>
      <c r="E18" s="227">
        <v>5000</v>
      </c>
      <c r="F18" s="227">
        <v>0</v>
      </c>
      <c r="G18" s="71"/>
      <c r="H18" s="1"/>
      <c r="I18" s="1"/>
      <c r="J18" s="1"/>
      <c r="K18" s="1"/>
    </row>
    <row r="19" spans="2:11" ht="16.5" thickBot="1">
      <c r="B19" s="195" t="s">
        <v>84</v>
      </c>
      <c r="C19" s="306"/>
      <c r="D19" s="227">
        <v>0</v>
      </c>
      <c r="E19" s="227">
        <v>60000</v>
      </c>
      <c r="F19" s="227">
        <v>0</v>
      </c>
      <c r="G19" s="71"/>
      <c r="H19" s="1"/>
      <c r="I19" s="1"/>
      <c r="J19" s="1"/>
      <c r="K19" s="1"/>
    </row>
    <row r="20" spans="2:11" ht="16.5" thickBot="1">
      <c r="B20" s="195" t="s">
        <v>85</v>
      </c>
      <c r="C20" s="306"/>
      <c r="D20" s="227">
        <v>0</v>
      </c>
      <c r="E20" s="227">
        <v>60000</v>
      </c>
      <c r="F20" s="227">
        <v>0</v>
      </c>
      <c r="G20" s="71"/>
      <c r="H20" s="1"/>
      <c r="I20" s="1"/>
      <c r="J20" s="1"/>
      <c r="K20" s="1"/>
    </row>
    <row r="21" spans="2:11" ht="16.5" thickBot="1">
      <c r="B21" s="195" t="s">
        <v>24</v>
      </c>
      <c r="C21" s="306"/>
      <c r="D21" s="227">
        <v>0</v>
      </c>
      <c r="E21" s="227">
        <v>10000</v>
      </c>
      <c r="F21" s="227">
        <v>0</v>
      </c>
      <c r="G21" s="71"/>
      <c r="H21" s="1"/>
      <c r="I21" s="1"/>
      <c r="J21" s="1"/>
      <c r="K21" s="1"/>
    </row>
    <row r="22" spans="2:11" ht="16.5" thickBot="1">
      <c r="B22" s="196" t="s">
        <v>25</v>
      </c>
      <c r="C22" s="307"/>
      <c r="D22" s="229">
        <v>0</v>
      </c>
      <c r="E22" s="229">
        <v>30000</v>
      </c>
      <c r="F22" s="229">
        <v>0</v>
      </c>
      <c r="G22" s="191"/>
      <c r="H22" s="1"/>
      <c r="I22" s="1"/>
      <c r="J22" s="1"/>
      <c r="K22" s="1"/>
    </row>
    <row r="23" spans="2:11" ht="16.5" thickBot="1">
      <c r="B23" s="198" t="s">
        <v>117</v>
      </c>
      <c r="C23" s="192"/>
      <c r="D23" s="193">
        <f>SUM(D12:D22)</f>
        <v>184000</v>
      </c>
      <c r="E23" s="193">
        <f>SUM(E12:E22)</f>
        <v>172500</v>
      </c>
      <c r="F23" s="193">
        <f>SUM(F12:F22)</f>
        <v>0</v>
      </c>
      <c r="G23" s="197">
        <f>SUM(D23:F23)</f>
        <v>356500</v>
      </c>
      <c r="H23" s="1"/>
      <c r="I23" s="1"/>
      <c r="J23" s="1"/>
      <c r="K23" s="1"/>
    </row>
    <row r="24" spans="8:11" ht="16.5" thickBot="1">
      <c r="H24" s="1"/>
      <c r="I24" s="1"/>
      <c r="J24" s="1"/>
      <c r="K24" s="1"/>
    </row>
  </sheetData>
  <sheetProtection/>
  <mergeCells count="4">
    <mergeCell ref="B8:G8"/>
    <mergeCell ref="C18:C22"/>
    <mergeCell ref="C10:C17"/>
    <mergeCell ref="B2:E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AF41"/>
  <sheetViews>
    <sheetView workbookViewId="0" topLeftCell="A12">
      <selection activeCell="I16" sqref="I16"/>
    </sheetView>
  </sheetViews>
  <sheetFormatPr defaultColWidth="11.00390625" defaultRowHeight="12.75"/>
  <cols>
    <col min="1" max="1" width="5.75390625" style="0" customWidth="1"/>
    <col min="2" max="2" width="20.00390625" style="0" customWidth="1"/>
    <col min="3" max="3" width="11.125" style="0" bestFit="1" customWidth="1"/>
    <col min="5" max="5" width="12.00390625" style="0" customWidth="1"/>
    <col min="7" max="7" width="11.375" style="0" customWidth="1"/>
    <col min="9" max="9" width="13.375" style="0" customWidth="1"/>
    <col min="10" max="10" width="11.00390625" style="0" bestFit="1" customWidth="1"/>
  </cols>
  <sheetData>
    <row r="1" ht="19.5">
      <c r="B1" s="235" t="s">
        <v>18</v>
      </c>
    </row>
    <row r="3" spans="2:3" ht="12.75">
      <c r="B3" s="323" t="s">
        <v>279</v>
      </c>
      <c r="C3" s="323"/>
    </row>
    <row r="4" ht="13.5" thickBot="1"/>
    <row r="5" spans="2:11" ht="13.5" thickBot="1">
      <c r="B5" s="324" t="s">
        <v>276</v>
      </c>
      <c r="C5" s="325"/>
      <c r="D5" s="325"/>
      <c r="E5" s="325"/>
      <c r="F5" s="325"/>
      <c r="G5" s="326"/>
      <c r="I5" s="320" t="s">
        <v>278</v>
      </c>
      <c r="J5" s="321"/>
      <c r="K5" s="322"/>
    </row>
    <row r="6" spans="2:7" ht="12.75">
      <c r="B6" s="327"/>
      <c r="C6" s="328"/>
      <c r="D6" s="328"/>
      <c r="E6" s="328"/>
      <c r="F6" s="328"/>
      <c r="G6" s="329"/>
    </row>
    <row r="7" spans="2:7" ht="12.75">
      <c r="B7" s="327"/>
      <c r="C7" s="328"/>
      <c r="D7" s="328"/>
      <c r="E7" s="328"/>
      <c r="F7" s="328"/>
      <c r="G7" s="329"/>
    </row>
    <row r="8" spans="2:7" ht="12.75">
      <c r="B8" s="327"/>
      <c r="C8" s="328"/>
      <c r="D8" s="328"/>
      <c r="E8" s="328"/>
      <c r="F8" s="328"/>
      <c r="G8" s="329"/>
    </row>
    <row r="9" spans="2:7" ht="13.5" thickBot="1">
      <c r="B9" s="330"/>
      <c r="C9" s="331"/>
      <c r="D9" s="331"/>
      <c r="E9" s="331"/>
      <c r="F9" s="331"/>
      <c r="G9" s="332"/>
    </row>
    <row r="10" spans="2:7" ht="13.5" thickBot="1">
      <c r="B10" s="238"/>
      <c r="C10" s="238"/>
      <c r="D10" s="238"/>
      <c r="E10" s="238"/>
      <c r="F10" s="238"/>
      <c r="G10" s="238"/>
    </row>
    <row r="11" spans="2:26" ht="15.75" thickBot="1">
      <c r="B11" s="204" t="s">
        <v>292</v>
      </c>
      <c r="C11" s="205">
        <f>Startup!G23</f>
        <v>356500</v>
      </c>
      <c r="E11" s="318" t="s">
        <v>294</v>
      </c>
      <c r="F11" s="319"/>
      <c r="G11" s="243">
        <v>0.3</v>
      </c>
      <c r="L11" s="203"/>
      <c r="M11" s="215"/>
      <c r="N11" s="215"/>
      <c r="O11" s="215"/>
      <c r="P11" s="215"/>
      <c r="Q11" s="215"/>
      <c r="R11" s="203"/>
      <c r="S11" s="203"/>
      <c r="T11" s="203"/>
      <c r="U11" s="215"/>
      <c r="V11" s="203"/>
      <c r="W11" s="203"/>
      <c r="X11" s="203"/>
      <c r="Y11" s="203"/>
      <c r="Z11" s="203"/>
    </row>
    <row r="12" spans="12:26" ht="13.5" thickBot="1">
      <c r="L12" s="203"/>
      <c r="M12" s="203"/>
      <c r="N12" s="203"/>
      <c r="O12" s="203"/>
      <c r="P12" s="203"/>
      <c r="Q12" s="203"/>
      <c r="R12" s="203"/>
      <c r="S12" s="203"/>
      <c r="T12" s="203"/>
      <c r="U12" s="203"/>
      <c r="V12" s="203"/>
      <c r="W12" s="203"/>
      <c r="X12" s="203"/>
      <c r="Y12" s="203"/>
      <c r="Z12" s="203"/>
    </row>
    <row r="13" spans="2:30" ht="15.75">
      <c r="B13" s="189" t="s">
        <v>223</v>
      </c>
      <c r="C13" s="223" t="s">
        <v>224</v>
      </c>
      <c r="D13" s="223" t="s">
        <v>225</v>
      </c>
      <c r="E13" s="223" t="s">
        <v>87</v>
      </c>
      <c r="F13" s="29"/>
      <c r="G13" s="29"/>
      <c r="H13" s="29"/>
      <c r="J13" s="203"/>
      <c r="K13" s="203"/>
      <c r="L13" s="203"/>
      <c r="M13" s="203"/>
      <c r="N13" s="203"/>
      <c r="O13" s="203"/>
      <c r="P13" s="203"/>
      <c r="Q13" s="203"/>
      <c r="R13" s="203"/>
      <c r="S13" s="203"/>
      <c r="T13" s="203"/>
      <c r="U13" s="214"/>
      <c r="V13" s="214"/>
      <c r="W13" s="214"/>
      <c r="X13" s="214"/>
      <c r="AB13" s="11"/>
      <c r="AC13" s="17"/>
      <c r="AD13" s="11"/>
    </row>
    <row r="14" spans="2:30" ht="30">
      <c r="B14" s="30" t="s">
        <v>81</v>
      </c>
      <c r="C14" s="31">
        <f>C11*G11</f>
        <v>106950</v>
      </c>
      <c r="D14" s="32" t="s">
        <v>226</v>
      </c>
      <c r="E14" s="32" t="s">
        <v>226</v>
      </c>
      <c r="F14" s="29"/>
      <c r="G14" s="38"/>
      <c r="H14" s="29"/>
      <c r="R14" s="168"/>
      <c r="AB14" s="11"/>
      <c r="AC14" s="11"/>
      <c r="AD14" s="11"/>
    </row>
    <row r="15" spans="2:30" ht="15">
      <c r="B15" s="30" t="s">
        <v>82</v>
      </c>
      <c r="C15" s="31">
        <f>C11*0.7</f>
        <v>249549.99999999997</v>
      </c>
      <c r="D15" s="241">
        <v>0.07</v>
      </c>
      <c r="E15" s="242">
        <v>7</v>
      </c>
      <c r="F15" s="29"/>
      <c r="AB15" s="11"/>
      <c r="AC15" s="11"/>
      <c r="AD15" s="11"/>
    </row>
    <row r="16" spans="2:30" ht="15">
      <c r="B16" s="30" t="s">
        <v>32</v>
      </c>
      <c r="C16" s="182">
        <f>SUM('Net Income'!E76:S76)*-1</f>
        <v>234110.4585828731</v>
      </c>
      <c r="D16" s="241">
        <v>0.07</v>
      </c>
      <c r="E16" s="242">
        <v>7</v>
      </c>
      <c r="F16" s="29"/>
      <c r="G16" s="38"/>
      <c r="H16" s="29"/>
      <c r="R16" s="168"/>
      <c r="S16" s="168"/>
      <c r="AB16" s="17"/>
      <c r="AC16" s="17"/>
      <c r="AD16" s="17"/>
    </row>
    <row r="17" spans="2:30" ht="15">
      <c r="B17" s="30" t="s">
        <v>173</v>
      </c>
      <c r="C17" s="31">
        <v>0</v>
      </c>
      <c r="D17" s="32" t="s">
        <v>226</v>
      </c>
      <c r="E17" s="32" t="s">
        <v>226</v>
      </c>
      <c r="F17" s="29"/>
      <c r="G17" s="38"/>
      <c r="H17" s="29"/>
      <c r="J17" s="18"/>
      <c r="K17" s="18"/>
      <c r="L17" s="18"/>
      <c r="M17" s="18"/>
      <c r="N17" s="18"/>
      <c r="O17" s="18"/>
      <c r="P17" s="18"/>
      <c r="Q17" s="18"/>
      <c r="R17" s="216"/>
      <c r="S17" s="216"/>
      <c r="T17" s="18"/>
      <c r="U17" s="18"/>
      <c r="V17" s="18"/>
      <c r="W17" s="18"/>
      <c r="X17" s="18"/>
      <c r="Y17" s="18"/>
      <c r="Z17" s="18"/>
      <c r="AA17" s="18"/>
      <c r="AB17" s="216"/>
      <c r="AC17" s="216"/>
      <c r="AD17" s="216"/>
    </row>
    <row r="18" spans="2:30" ht="15">
      <c r="B18" s="30" t="s">
        <v>227</v>
      </c>
      <c r="C18" s="31">
        <v>0</v>
      </c>
      <c r="D18" s="33">
        <v>0.05</v>
      </c>
      <c r="E18" s="32" t="s">
        <v>228</v>
      </c>
      <c r="F18" s="29"/>
      <c r="G18" s="29"/>
      <c r="H18" s="29"/>
      <c r="J18" s="18"/>
      <c r="K18" s="18"/>
      <c r="L18" s="18"/>
      <c r="M18" s="18"/>
      <c r="N18" s="18"/>
      <c r="O18" s="18"/>
      <c r="P18" s="18"/>
      <c r="Q18" s="18"/>
      <c r="R18" s="18"/>
      <c r="S18" s="18"/>
      <c r="T18" s="18"/>
      <c r="U18" s="18"/>
      <c r="V18" s="18"/>
      <c r="W18" s="18"/>
      <c r="X18" s="18"/>
      <c r="Y18" s="18"/>
      <c r="Z18" s="18"/>
      <c r="AA18" s="18"/>
      <c r="AB18" s="18"/>
      <c r="AC18" s="18"/>
      <c r="AD18" s="18"/>
    </row>
    <row r="19" spans="2:30" ht="13.5" thickBot="1">
      <c r="B19" s="34" t="s">
        <v>49</v>
      </c>
      <c r="C19" s="35">
        <f>SUM(C14:C18)</f>
        <v>590610.4585828731</v>
      </c>
      <c r="D19" s="36"/>
      <c r="E19" s="36"/>
      <c r="F19" s="29"/>
      <c r="G19" s="29"/>
      <c r="H19" s="29"/>
      <c r="J19" s="18"/>
      <c r="K19" s="18"/>
      <c r="L19" s="18"/>
      <c r="M19" s="18"/>
      <c r="N19" s="18"/>
      <c r="O19" s="18"/>
      <c r="P19" s="18"/>
      <c r="Q19" s="18"/>
      <c r="R19" s="18"/>
      <c r="S19" s="18"/>
      <c r="T19" s="18"/>
      <c r="U19" s="18"/>
      <c r="V19" s="18"/>
      <c r="W19" s="18"/>
      <c r="X19" s="18"/>
      <c r="Y19" s="18"/>
      <c r="Z19" s="18"/>
      <c r="AA19" s="18"/>
      <c r="AB19" s="18"/>
      <c r="AC19" s="18"/>
      <c r="AD19" s="18"/>
    </row>
    <row r="20" spans="2:32" ht="15.75" thickBot="1">
      <c r="B20" s="37"/>
      <c r="C20" s="38"/>
      <c r="D20" s="29"/>
      <c r="E20" s="29"/>
      <c r="F20" s="29"/>
      <c r="G20" s="29"/>
      <c r="H20" s="29"/>
      <c r="I20" s="29"/>
      <c r="J20" s="29"/>
      <c r="L20" s="18"/>
      <c r="M20" s="18"/>
      <c r="N20" s="18"/>
      <c r="O20" s="18"/>
      <c r="P20" s="18"/>
      <c r="Q20" s="18"/>
      <c r="R20" s="18"/>
      <c r="S20" s="18"/>
      <c r="T20" s="18"/>
      <c r="U20" s="18"/>
      <c r="V20" s="18"/>
      <c r="W20" s="18"/>
      <c r="X20" s="18"/>
      <c r="Y20" s="18"/>
      <c r="Z20" s="18"/>
      <c r="AA20" s="18"/>
      <c r="AB20" s="18"/>
      <c r="AC20" s="18"/>
      <c r="AD20" s="18"/>
      <c r="AE20" s="18"/>
      <c r="AF20" s="18"/>
    </row>
    <row r="21" spans="2:32" ht="31.5">
      <c r="B21" s="189" t="s">
        <v>197</v>
      </c>
      <c r="C21" s="223" t="s">
        <v>198</v>
      </c>
      <c r="D21" s="223" t="s">
        <v>273</v>
      </c>
      <c r="E21" s="223" t="s">
        <v>274</v>
      </c>
      <c r="F21" s="224" t="s">
        <v>199</v>
      </c>
      <c r="G21" s="225" t="s">
        <v>200</v>
      </c>
      <c r="H21" s="189" t="s">
        <v>201</v>
      </c>
      <c r="I21" s="223" t="s">
        <v>202</v>
      </c>
      <c r="J21" s="225" t="s">
        <v>203</v>
      </c>
      <c r="L21" s="217"/>
      <c r="M21" s="37"/>
      <c r="N21" s="217"/>
      <c r="O21" s="217"/>
      <c r="P21" s="217"/>
      <c r="Q21" s="217"/>
      <c r="R21" s="217"/>
      <c r="S21" s="217"/>
      <c r="T21" s="217"/>
      <c r="U21" s="18"/>
      <c r="V21" s="217"/>
      <c r="W21" s="37"/>
      <c r="X21" s="217"/>
      <c r="Y21" s="217"/>
      <c r="Z21" s="217"/>
      <c r="AA21" s="217"/>
      <c r="AB21" s="217"/>
      <c r="AC21" s="217"/>
      <c r="AD21" s="217"/>
      <c r="AE21" s="18"/>
      <c r="AF21" s="18"/>
    </row>
    <row r="22" spans="2:32" ht="15">
      <c r="B22" s="39" t="s">
        <v>242</v>
      </c>
      <c r="C22" s="40">
        <f aca="true" t="shared" si="0" ref="C22:E23">C15</f>
        <v>249549.99999999997</v>
      </c>
      <c r="D22" s="239">
        <f t="shared" si="0"/>
        <v>0.07</v>
      </c>
      <c r="E22" s="230">
        <f t="shared" si="0"/>
        <v>7</v>
      </c>
      <c r="F22" s="236">
        <f>1/((1-1/(1+D22)^E22)/D22)</f>
        <v>0.1855532196311593</v>
      </c>
      <c r="G22" s="199">
        <f>C22*F22</f>
        <v>46304.8059589558</v>
      </c>
      <c r="H22" s="199">
        <f>G22*E22</f>
        <v>324133.64171269065</v>
      </c>
      <c r="I22" s="199">
        <f>H22-C22</f>
        <v>74583.64171269067</v>
      </c>
      <c r="J22" s="200">
        <f>C22</f>
        <v>249549.99999999997</v>
      </c>
      <c r="L22" s="37"/>
      <c r="M22" s="218"/>
      <c r="N22" s="219"/>
      <c r="O22" s="219"/>
      <c r="P22" s="219"/>
      <c r="Q22" s="220"/>
      <c r="R22" s="220"/>
      <c r="S22" s="221"/>
      <c r="T22" s="218"/>
      <c r="U22" s="18"/>
      <c r="V22" s="37"/>
      <c r="W22" s="218"/>
      <c r="X22" s="219"/>
      <c r="Y22" s="219"/>
      <c r="Z22" s="219"/>
      <c r="AA22" s="220"/>
      <c r="AB22" s="220"/>
      <c r="AC22" s="221"/>
      <c r="AD22" s="218"/>
      <c r="AE22" s="18"/>
      <c r="AF22" s="18"/>
    </row>
    <row r="23" spans="2:32" ht="15.75" thickBot="1">
      <c r="B23" s="44" t="s">
        <v>243</v>
      </c>
      <c r="C23" s="45">
        <f t="shared" si="0"/>
        <v>234110.4585828731</v>
      </c>
      <c r="D23" s="240">
        <f t="shared" si="0"/>
        <v>0.07</v>
      </c>
      <c r="E23" s="231">
        <f t="shared" si="0"/>
        <v>7</v>
      </c>
      <c r="F23" s="237">
        <f>1/((1-1/(1+D23)^E23)/D23)</f>
        <v>0.1855532196311593</v>
      </c>
      <c r="G23" s="201">
        <f>C23*F23</f>
        <v>43439.94933937928</v>
      </c>
      <c r="H23" s="201">
        <f>G23*E23</f>
        <v>304079.645375655</v>
      </c>
      <c r="I23" s="201">
        <f>H23-C23</f>
        <v>69969.18679278187</v>
      </c>
      <c r="J23" s="202">
        <f>C23</f>
        <v>234110.4585828731</v>
      </c>
      <c r="L23" s="37"/>
      <c r="M23" s="218"/>
      <c r="N23" s="219"/>
      <c r="O23" s="219"/>
      <c r="P23" s="219"/>
      <c r="Q23" s="220"/>
      <c r="R23" s="220"/>
      <c r="S23" s="221"/>
      <c r="T23" s="218"/>
      <c r="U23" s="18"/>
      <c r="V23" s="37"/>
      <c r="W23" s="218"/>
      <c r="X23" s="219"/>
      <c r="Y23" s="219"/>
      <c r="Z23" s="219"/>
      <c r="AA23" s="220"/>
      <c r="AB23" s="220"/>
      <c r="AC23" s="221"/>
      <c r="AD23" s="218"/>
      <c r="AE23" s="18"/>
      <c r="AF23" s="18"/>
    </row>
    <row r="24" ht="13.5" thickBot="1"/>
    <row r="25" spans="2:16" ht="31.5">
      <c r="B25" s="189" t="s">
        <v>295</v>
      </c>
      <c r="C25" s="223" t="s">
        <v>296</v>
      </c>
      <c r="D25" s="223" t="s">
        <v>177</v>
      </c>
      <c r="E25" s="223" t="s">
        <v>297</v>
      </c>
      <c r="F25" s="224" t="s">
        <v>298</v>
      </c>
      <c r="G25" s="225" t="s">
        <v>241</v>
      </c>
      <c r="H25" s="206"/>
      <c r="I25" s="189" t="s">
        <v>204</v>
      </c>
      <c r="J25" s="223">
        <v>1</v>
      </c>
      <c r="K25" s="223">
        <v>2</v>
      </c>
      <c r="L25" s="223">
        <v>3</v>
      </c>
      <c r="M25" s="226">
        <v>4</v>
      </c>
      <c r="N25" s="223">
        <v>5</v>
      </c>
      <c r="O25" s="190">
        <v>6</v>
      </c>
      <c r="P25" s="225">
        <v>7</v>
      </c>
    </row>
    <row r="26" spans="2:16" ht="15.75">
      <c r="B26" s="163">
        <v>1</v>
      </c>
      <c r="C26" s="86">
        <f>C22</f>
        <v>249549.99999999997</v>
      </c>
      <c r="D26" s="162">
        <f>G22</f>
        <v>46304.8059589558</v>
      </c>
      <c r="E26" s="86">
        <f>C26*$D$22</f>
        <v>17468.5</v>
      </c>
      <c r="F26" s="53">
        <f>D26-E26</f>
        <v>28836.305958955803</v>
      </c>
      <c r="G26" s="87">
        <f>C26-F26</f>
        <v>220713.69404104416</v>
      </c>
      <c r="I26" s="244" t="s">
        <v>242</v>
      </c>
      <c r="J26" s="42">
        <f>C15</f>
        <v>249549.99999999997</v>
      </c>
      <c r="K26" s="42">
        <v>0</v>
      </c>
      <c r="L26" s="42">
        <v>0</v>
      </c>
      <c r="M26" s="42">
        <v>0</v>
      </c>
      <c r="N26" s="41"/>
      <c r="O26" s="41"/>
      <c r="P26" s="208"/>
    </row>
    <row r="27" spans="2:16" ht="15.75">
      <c r="B27" s="163">
        <v>2</v>
      </c>
      <c r="C27" s="86">
        <f aca="true" t="shared" si="1" ref="C27:C32">G26</f>
        <v>220713.69404104416</v>
      </c>
      <c r="D27" s="53">
        <f aca="true" t="shared" si="2" ref="D27:D32">D26</f>
        <v>46304.8059589558</v>
      </c>
      <c r="E27" s="86">
        <f aca="true" t="shared" si="3" ref="E27:E32">C27*$D$22</f>
        <v>15449.958582873092</v>
      </c>
      <c r="F27" s="53">
        <f aca="true" t="shared" si="4" ref="F27:F32">D27-E27</f>
        <v>30854.84737608271</v>
      </c>
      <c r="G27" s="87">
        <f aca="true" t="shared" si="5" ref="G27:G32">C27-F27</f>
        <v>189858.84666496146</v>
      </c>
      <c r="I27" s="207" t="s">
        <v>170</v>
      </c>
      <c r="J27" s="40">
        <f>E26</f>
        <v>17468.5</v>
      </c>
      <c r="K27" s="40">
        <f>E27</f>
        <v>15449.958582873092</v>
      </c>
      <c r="L27" s="40">
        <f>E28</f>
        <v>13290.119266547303</v>
      </c>
      <c r="M27" s="40">
        <f>E29</f>
        <v>10979.09119807871</v>
      </c>
      <c r="N27" s="40">
        <f>E30</f>
        <v>8506.291164817312</v>
      </c>
      <c r="O27" s="40">
        <f>E31</f>
        <v>5860.395129227617</v>
      </c>
      <c r="P27" s="43">
        <f>E32</f>
        <v>3029.2863711466443</v>
      </c>
    </row>
    <row r="28" spans="2:16" ht="15.75">
      <c r="B28" s="163">
        <v>3</v>
      </c>
      <c r="C28" s="86">
        <f t="shared" si="1"/>
        <v>189858.84666496146</v>
      </c>
      <c r="D28" s="53">
        <f t="shared" si="2"/>
        <v>46304.8059589558</v>
      </c>
      <c r="E28" s="86">
        <f t="shared" si="3"/>
        <v>13290.119266547303</v>
      </c>
      <c r="F28" s="53">
        <f t="shared" si="4"/>
        <v>33014.686692408504</v>
      </c>
      <c r="G28" s="87">
        <f t="shared" si="5"/>
        <v>156844.15997255297</v>
      </c>
      <c r="I28" s="207" t="s">
        <v>244</v>
      </c>
      <c r="J28" s="40">
        <f>F26</f>
        <v>28836.305958955803</v>
      </c>
      <c r="K28" s="40">
        <f>F27</f>
        <v>30854.84737608271</v>
      </c>
      <c r="L28" s="40">
        <f>F28</f>
        <v>33014.686692408504</v>
      </c>
      <c r="M28" s="40">
        <f>F29</f>
        <v>35325.71476087709</v>
      </c>
      <c r="N28" s="40">
        <f>F30</f>
        <v>37798.51479413849</v>
      </c>
      <c r="O28" s="40">
        <f>F31</f>
        <v>40444.410829728185</v>
      </c>
      <c r="P28" s="43">
        <f>F32</f>
        <v>43275.51958780916</v>
      </c>
    </row>
    <row r="29" spans="2:16" ht="16.5" thickBot="1">
      <c r="B29" s="164">
        <v>4</v>
      </c>
      <c r="C29" s="86">
        <f t="shared" si="1"/>
        <v>156844.15997255297</v>
      </c>
      <c r="D29" s="53">
        <f t="shared" si="2"/>
        <v>46304.8059589558</v>
      </c>
      <c r="E29" s="86">
        <f t="shared" si="3"/>
        <v>10979.09119807871</v>
      </c>
      <c r="F29" s="53">
        <f t="shared" si="4"/>
        <v>35325.71476087709</v>
      </c>
      <c r="G29" s="87">
        <f t="shared" si="5"/>
        <v>121518.44521167588</v>
      </c>
      <c r="I29" s="209" t="s">
        <v>124</v>
      </c>
      <c r="J29" s="46">
        <f>J26*0.1</f>
        <v>24955</v>
      </c>
      <c r="K29" s="46">
        <f>$J$29</f>
        <v>24955</v>
      </c>
      <c r="L29" s="46">
        <f>$K$29</f>
        <v>24955</v>
      </c>
      <c r="M29" s="46">
        <f>L29</f>
        <v>24955</v>
      </c>
      <c r="N29" s="46">
        <f>M29</f>
        <v>24955</v>
      </c>
      <c r="O29" s="46">
        <f>N29</f>
        <v>24955</v>
      </c>
      <c r="P29" s="210">
        <f>O29</f>
        <v>24955</v>
      </c>
    </row>
    <row r="30" spans="2:28" ht="15.75">
      <c r="B30" s="163">
        <v>5</v>
      </c>
      <c r="C30" s="86">
        <f t="shared" si="1"/>
        <v>121518.44521167588</v>
      </c>
      <c r="D30" s="53">
        <f t="shared" si="2"/>
        <v>46304.8059589558</v>
      </c>
      <c r="E30" s="86">
        <f t="shared" si="3"/>
        <v>8506.291164817312</v>
      </c>
      <c r="F30" s="53">
        <f t="shared" si="4"/>
        <v>37798.51479413849</v>
      </c>
      <c r="G30" s="87">
        <f t="shared" si="5"/>
        <v>83719.93041753738</v>
      </c>
      <c r="U30" s="11"/>
      <c r="V30" s="11"/>
      <c r="W30" s="11"/>
      <c r="X30" s="11"/>
      <c r="Y30" s="11"/>
      <c r="Z30" s="11"/>
      <c r="AA30" s="11"/>
      <c r="AB30" s="11"/>
    </row>
    <row r="31" spans="2:28" ht="15.75">
      <c r="B31" s="164">
        <v>6</v>
      </c>
      <c r="C31" s="86">
        <f t="shared" si="1"/>
        <v>83719.93041753738</v>
      </c>
      <c r="D31" s="53">
        <f t="shared" si="2"/>
        <v>46304.8059589558</v>
      </c>
      <c r="E31" s="86">
        <f t="shared" si="3"/>
        <v>5860.395129227617</v>
      </c>
      <c r="F31" s="53">
        <f t="shared" si="4"/>
        <v>40444.410829728185</v>
      </c>
      <c r="G31" s="87">
        <f t="shared" si="5"/>
        <v>43275.5195878092</v>
      </c>
      <c r="U31" s="11"/>
      <c r="V31" s="11"/>
      <c r="W31" s="11"/>
      <c r="X31" s="11"/>
      <c r="Y31" s="11"/>
      <c r="Z31" s="11"/>
      <c r="AA31" s="11"/>
      <c r="AB31" s="11"/>
    </row>
    <row r="32" spans="2:28" ht="16.5" thickBot="1">
      <c r="B32" s="165">
        <v>7</v>
      </c>
      <c r="C32" s="166">
        <f t="shared" si="1"/>
        <v>43275.5195878092</v>
      </c>
      <c r="D32" s="93">
        <f t="shared" si="2"/>
        <v>46304.8059589558</v>
      </c>
      <c r="E32" s="166">
        <f t="shared" si="3"/>
        <v>3029.2863711466443</v>
      </c>
      <c r="F32" s="93">
        <f t="shared" si="4"/>
        <v>43275.51958780916</v>
      </c>
      <c r="G32" s="167">
        <f t="shared" si="5"/>
        <v>0</v>
      </c>
      <c r="U32" s="11"/>
      <c r="V32" s="11"/>
      <c r="W32" s="11"/>
      <c r="X32" s="11"/>
      <c r="Y32" s="11"/>
      <c r="Z32" s="11"/>
      <c r="AA32" s="11"/>
      <c r="AB32" s="11"/>
    </row>
    <row r="33" spans="12:28" ht="16.5" thickBot="1">
      <c r="L33" s="6"/>
      <c r="M33" s="6"/>
      <c r="N33" s="211"/>
      <c r="O33" s="6"/>
      <c r="P33" s="6"/>
      <c r="Q33" s="1"/>
      <c r="U33" s="11"/>
      <c r="V33" s="222"/>
      <c r="W33" s="222"/>
      <c r="X33" s="222"/>
      <c r="Y33" s="222"/>
      <c r="Z33" s="222"/>
      <c r="AA33" s="222"/>
      <c r="AB33" s="11"/>
    </row>
    <row r="34" spans="2:28" ht="33" thickBot="1">
      <c r="B34" s="189" t="s">
        <v>299</v>
      </c>
      <c r="C34" s="223" t="s">
        <v>300</v>
      </c>
      <c r="D34" s="223" t="s">
        <v>193</v>
      </c>
      <c r="E34" s="223" t="s">
        <v>194</v>
      </c>
      <c r="F34" s="224" t="s">
        <v>195</v>
      </c>
      <c r="G34" s="225" t="s">
        <v>196</v>
      </c>
      <c r="I34" s="189" t="s">
        <v>204</v>
      </c>
      <c r="J34" s="223">
        <v>1</v>
      </c>
      <c r="K34" s="223">
        <v>2</v>
      </c>
      <c r="L34" s="223">
        <v>3</v>
      </c>
      <c r="M34" s="226">
        <v>4</v>
      </c>
      <c r="N34" s="223">
        <v>5</v>
      </c>
      <c r="O34" s="190">
        <v>6</v>
      </c>
      <c r="P34" s="225">
        <v>7</v>
      </c>
      <c r="Q34" s="1"/>
      <c r="U34" s="11"/>
      <c r="V34" s="222"/>
      <c r="W34" s="222"/>
      <c r="X34" s="222"/>
      <c r="Y34" s="222"/>
      <c r="Z34" s="222"/>
      <c r="AA34" s="222"/>
      <c r="AB34" s="11"/>
    </row>
    <row r="35" spans="2:28" ht="15.75">
      <c r="B35" s="163">
        <v>1</v>
      </c>
      <c r="C35" s="86">
        <f>C16</f>
        <v>234110.4585828731</v>
      </c>
      <c r="D35" s="162">
        <f>G23</f>
        <v>43439.94933937928</v>
      </c>
      <c r="E35" s="86">
        <f>C35*$D$22</f>
        <v>16387.73210080112</v>
      </c>
      <c r="F35" s="53">
        <f>D35-E35</f>
        <v>27052.21723857816</v>
      </c>
      <c r="G35" s="87">
        <f>C35-F35</f>
        <v>207058.24134429495</v>
      </c>
      <c r="I35" s="176" t="s">
        <v>275</v>
      </c>
      <c r="J35" s="178">
        <f>C16</f>
        <v>234110.4585828731</v>
      </c>
      <c r="K35" s="21"/>
      <c r="L35" s="21"/>
      <c r="M35" s="21"/>
      <c r="N35" s="21"/>
      <c r="O35" s="21"/>
      <c r="P35" s="27"/>
      <c r="U35" s="11"/>
      <c r="V35" s="11"/>
      <c r="W35" s="11"/>
      <c r="X35" s="11"/>
      <c r="Y35" s="11"/>
      <c r="Z35" s="11"/>
      <c r="AA35" s="11"/>
      <c r="AB35" s="11"/>
    </row>
    <row r="36" spans="2:28" ht="15.75">
      <c r="B36" s="163">
        <v>2</v>
      </c>
      <c r="C36" s="86">
        <f aca="true" t="shared" si="6" ref="C36:C41">G35</f>
        <v>207058.24134429495</v>
      </c>
      <c r="D36" s="53">
        <f aca="true" t="shared" si="7" ref="D36:D41">D35</f>
        <v>43439.94933937928</v>
      </c>
      <c r="E36" s="86">
        <f aca="true" t="shared" si="8" ref="E36:E41">C36*$D$22</f>
        <v>14494.076894100648</v>
      </c>
      <c r="F36" s="53">
        <f aca="true" t="shared" si="9" ref="F36:F41">D36-E36</f>
        <v>28945.872445278634</v>
      </c>
      <c r="G36" s="87">
        <f aca="true" t="shared" si="10" ref="G36:G41">C36-F36</f>
        <v>178112.36889901632</v>
      </c>
      <c r="I36" s="26" t="s">
        <v>170</v>
      </c>
      <c r="J36" s="169">
        <f>E35</f>
        <v>16387.73210080112</v>
      </c>
      <c r="K36" s="169">
        <f>E36</f>
        <v>14494.076894100648</v>
      </c>
      <c r="L36" s="169">
        <f>E37</f>
        <v>12467.865822931144</v>
      </c>
      <c r="M36" s="169">
        <f>E38</f>
        <v>10299.819976779774</v>
      </c>
      <c r="N36" s="169">
        <f>E39</f>
        <v>7980.010921397809</v>
      </c>
      <c r="O36" s="169">
        <f>E40</f>
        <v>5497.815232139105</v>
      </c>
      <c r="P36" s="170">
        <f>E41</f>
        <v>2841.865844632293</v>
      </c>
      <c r="U36" s="11"/>
      <c r="V36" s="11"/>
      <c r="W36" s="11"/>
      <c r="X36" s="11"/>
      <c r="Y36" s="11"/>
      <c r="Z36" s="11"/>
      <c r="AA36" s="11"/>
      <c r="AB36" s="11"/>
    </row>
    <row r="37" spans="2:16" ht="16.5" thickBot="1">
      <c r="B37" s="163">
        <v>3</v>
      </c>
      <c r="C37" s="86">
        <f t="shared" si="6"/>
        <v>178112.36889901632</v>
      </c>
      <c r="D37" s="53">
        <f t="shared" si="7"/>
        <v>43439.94933937928</v>
      </c>
      <c r="E37" s="86">
        <f t="shared" si="8"/>
        <v>12467.865822931144</v>
      </c>
      <c r="F37" s="53">
        <f t="shared" si="9"/>
        <v>30972.083516448136</v>
      </c>
      <c r="G37" s="87">
        <f t="shared" si="10"/>
        <v>147140.2853825682</v>
      </c>
      <c r="I37" s="177" t="s">
        <v>244</v>
      </c>
      <c r="J37" s="212">
        <f>F35</f>
        <v>27052.21723857816</v>
      </c>
      <c r="K37" s="212">
        <f>F36</f>
        <v>28945.872445278634</v>
      </c>
      <c r="L37" s="212">
        <f>F37</f>
        <v>30972.083516448136</v>
      </c>
      <c r="M37" s="212">
        <f>F38</f>
        <v>33140.1293625995</v>
      </c>
      <c r="N37" s="212">
        <f>F39</f>
        <v>35459.93841798147</v>
      </c>
      <c r="O37" s="212">
        <f>F40</f>
        <v>37942.13410724018</v>
      </c>
      <c r="P37" s="213">
        <f>F41</f>
        <v>40598.083494746985</v>
      </c>
    </row>
    <row r="38" spans="2:7" ht="15.75">
      <c r="B38" s="164">
        <v>4</v>
      </c>
      <c r="C38" s="86">
        <f t="shared" si="6"/>
        <v>147140.2853825682</v>
      </c>
      <c r="D38" s="53">
        <f t="shared" si="7"/>
        <v>43439.94933937928</v>
      </c>
      <c r="E38" s="86">
        <f t="shared" si="8"/>
        <v>10299.819976779774</v>
      </c>
      <c r="F38" s="53">
        <f t="shared" si="9"/>
        <v>33140.1293625995</v>
      </c>
      <c r="G38" s="87">
        <f t="shared" si="10"/>
        <v>114000.1560199687</v>
      </c>
    </row>
    <row r="39" spans="2:7" ht="15.75">
      <c r="B39" s="163">
        <v>5</v>
      </c>
      <c r="C39" s="86">
        <f t="shared" si="6"/>
        <v>114000.1560199687</v>
      </c>
      <c r="D39" s="53">
        <f t="shared" si="7"/>
        <v>43439.94933937928</v>
      </c>
      <c r="E39" s="86">
        <f t="shared" si="8"/>
        <v>7980.010921397809</v>
      </c>
      <c r="F39" s="53">
        <f t="shared" si="9"/>
        <v>35459.93841798147</v>
      </c>
      <c r="G39" s="87">
        <f t="shared" si="10"/>
        <v>78540.21760198721</v>
      </c>
    </row>
    <row r="40" spans="2:7" ht="15.75">
      <c r="B40" s="164">
        <v>6</v>
      </c>
      <c r="C40" s="86">
        <f t="shared" si="6"/>
        <v>78540.21760198721</v>
      </c>
      <c r="D40" s="53">
        <f t="shared" si="7"/>
        <v>43439.94933937928</v>
      </c>
      <c r="E40" s="86">
        <f t="shared" si="8"/>
        <v>5497.815232139105</v>
      </c>
      <c r="F40" s="53">
        <f t="shared" si="9"/>
        <v>37942.13410724018</v>
      </c>
      <c r="G40" s="87">
        <f t="shared" si="10"/>
        <v>40598.083494747036</v>
      </c>
    </row>
    <row r="41" spans="2:7" ht="16.5" thickBot="1">
      <c r="B41" s="165">
        <v>7</v>
      </c>
      <c r="C41" s="166">
        <f t="shared" si="6"/>
        <v>40598.083494747036</v>
      </c>
      <c r="D41" s="93">
        <f t="shared" si="7"/>
        <v>43439.94933937928</v>
      </c>
      <c r="E41" s="166">
        <f t="shared" si="8"/>
        <v>2841.865844632293</v>
      </c>
      <c r="F41" s="93">
        <f t="shared" si="9"/>
        <v>40598.083494746985</v>
      </c>
      <c r="G41" s="167">
        <f t="shared" si="10"/>
        <v>0</v>
      </c>
    </row>
  </sheetData>
  <sheetProtection/>
  <mergeCells count="4">
    <mergeCell ref="E11:F11"/>
    <mergeCell ref="I5:K5"/>
    <mergeCell ref="B3:C3"/>
    <mergeCell ref="B5:G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V105"/>
  <sheetViews>
    <sheetView zoomScale="75" zoomScaleNormal="75" workbookViewId="0" topLeftCell="A3">
      <selection activeCell="C42" sqref="C42:C49"/>
    </sheetView>
  </sheetViews>
  <sheetFormatPr defaultColWidth="11.00390625" defaultRowHeight="12.75"/>
  <cols>
    <col min="1" max="1" width="4.875" style="0" customWidth="1"/>
    <col min="2" max="2" width="43.875" style="0" customWidth="1"/>
    <col min="3" max="3" width="11.875" style="0" customWidth="1"/>
    <col min="4" max="4" width="14.25390625" style="0" customWidth="1"/>
    <col min="5" max="5" width="11.75390625" style="0" customWidth="1"/>
    <col min="6" max="6" width="12.00390625" style="0" customWidth="1"/>
    <col min="7" max="9" width="11.625" style="0" bestFit="1" customWidth="1"/>
    <col min="10" max="10" width="11.625" style="0" customWidth="1"/>
    <col min="11" max="11" width="11.875" style="0" customWidth="1"/>
    <col min="12" max="12" width="11.625" style="0" customWidth="1"/>
    <col min="13" max="13" width="12.00390625" style="0" customWidth="1"/>
    <col min="14" max="14" width="11.875" style="0" bestFit="1" customWidth="1"/>
    <col min="15" max="18" width="12.00390625" style="0" bestFit="1" customWidth="1"/>
    <col min="19" max="19" width="13.00390625" style="0" customWidth="1"/>
    <col min="20" max="20" width="12.125" style="0" bestFit="1" customWidth="1"/>
  </cols>
  <sheetData>
    <row r="1" spans="2:3" ht="19.5">
      <c r="B1" s="235" t="s">
        <v>277</v>
      </c>
      <c r="C1" s="235"/>
    </row>
    <row r="2" ht="13.5" thickBot="1"/>
    <row r="3" spans="2:3" ht="16.5" thickBot="1">
      <c r="B3" s="245" t="s">
        <v>119</v>
      </c>
      <c r="C3" s="246"/>
    </row>
    <row r="4" ht="13.5" thickBot="1"/>
    <row r="5" spans="2:9" ht="12.75">
      <c r="B5" s="364" t="s">
        <v>310</v>
      </c>
      <c r="C5" s="365"/>
      <c r="D5" s="365"/>
      <c r="E5" s="365"/>
      <c r="F5" s="365"/>
      <c r="G5" s="365"/>
      <c r="H5" s="365"/>
      <c r="I5" s="366"/>
    </row>
    <row r="6" spans="2:9" ht="12.75">
      <c r="B6" s="367"/>
      <c r="C6" s="368"/>
      <c r="D6" s="368"/>
      <c r="E6" s="368"/>
      <c r="F6" s="368"/>
      <c r="G6" s="368"/>
      <c r="H6" s="368"/>
      <c r="I6" s="369"/>
    </row>
    <row r="7" spans="2:9" ht="12.75">
      <c r="B7" s="367"/>
      <c r="C7" s="368"/>
      <c r="D7" s="368"/>
      <c r="E7" s="368"/>
      <c r="F7" s="368"/>
      <c r="G7" s="368"/>
      <c r="H7" s="368"/>
      <c r="I7" s="369"/>
    </row>
    <row r="8" spans="2:9" ht="13.5" thickBot="1">
      <c r="B8" s="370"/>
      <c r="C8" s="371"/>
      <c r="D8" s="371"/>
      <c r="E8" s="371"/>
      <c r="F8" s="371"/>
      <c r="G8" s="371"/>
      <c r="H8" s="371"/>
      <c r="I8" s="372"/>
    </row>
    <row r="9" spans="2:9" ht="13.5" thickBot="1">
      <c r="B9" s="234"/>
      <c r="C9" s="234"/>
      <c r="D9" s="234"/>
      <c r="E9" s="234"/>
      <c r="F9" s="234"/>
      <c r="G9" s="234"/>
      <c r="H9" s="234"/>
      <c r="I9" s="234"/>
    </row>
    <row r="10" spans="2:9" ht="12.75">
      <c r="B10" s="324" t="s">
        <v>272</v>
      </c>
      <c r="C10" s="325"/>
      <c r="D10" s="325"/>
      <c r="E10" s="326"/>
      <c r="F10" s="234"/>
      <c r="G10" s="234"/>
      <c r="H10" s="234"/>
      <c r="I10" s="234"/>
    </row>
    <row r="11" spans="2:9" ht="13.5" thickBot="1">
      <c r="B11" s="330" t="s">
        <v>311</v>
      </c>
      <c r="C11" s="331"/>
      <c r="D11" s="331"/>
      <c r="E11" s="332"/>
      <c r="F11" s="234"/>
      <c r="G11" s="234"/>
      <c r="H11" s="234"/>
      <c r="I11" s="234"/>
    </row>
    <row r="12" spans="2:22" ht="18" thickBot="1">
      <c r="B12" s="110"/>
      <c r="C12" s="110"/>
      <c r="D12" s="111"/>
      <c r="E12" s="111"/>
      <c r="F12" s="111"/>
      <c r="G12" s="111"/>
      <c r="H12" s="111"/>
      <c r="I12" s="111"/>
      <c r="J12" s="111"/>
      <c r="K12" s="111"/>
      <c r="L12" s="111"/>
      <c r="M12" s="111"/>
      <c r="N12" s="111"/>
      <c r="O12" s="111"/>
      <c r="P12" s="111"/>
      <c r="Q12" s="111"/>
      <c r="R12" s="111"/>
      <c r="S12" s="111"/>
      <c r="T12" s="1"/>
      <c r="U12" s="1"/>
      <c r="V12" s="1"/>
    </row>
    <row r="13" spans="2:21" ht="16.5" thickBot="1">
      <c r="B13" s="112" t="s">
        <v>128</v>
      </c>
      <c r="C13" s="114"/>
      <c r="D13" s="114"/>
      <c r="E13" s="114"/>
      <c r="F13" s="114"/>
      <c r="G13" s="114"/>
      <c r="H13" s="114"/>
      <c r="I13" s="115"/>
      <c r="J13" s="6"/>
      <c r="K13" s="6"/>
      <c r="L13" s="1"/>
      <c r="M13" s="1"/>
      <c r="N13" s="1"/>
      <c r="O13" s="1"/>
      <c r="P13" s="1"/>
      <c r="Q13" s="1"/>
      <c r="R13" s="1"/>
      <c r="S13" s="1"/>
      <c r="T13" s="1"/>
      <c r="U13" s="1"/>
    </row>
    <row r="14" spans="2:19" ht="16.5" customHeight="1" thickBot="1">
      <c r="B14" s="336" t="s">
        <v>75</v>
      </c>
      <c r="C14" s="337"/>
      <c r="D14" s="338"/>
      <c r="E14" s="109">
        <v>1500</v>
      </c>
      <c r="F14" s="373" t="s">
        <v>76</v>
      </c>
      <c r="G14" s="374"/>
      <c r="H14" s="375"/>
      <c r="I14" s="175">
        <v>0.03</v>
      </c>
      <c r="J14" s="51"/>
      <c r="K14" s="51"/>
      <c r="L14" s="51"/>
      <c r="M14" s="51"/>
      <c r="N14" s="51"/>
      <c r="O14" s="51"/>
      <c r="P14" s="51"/>
      <c r="Q14" s="1"/>
      <c r="R14" s="1"/>
      <c r="S14" s="1"/>
    </row>
    <row r="15" spans="2:19" ht="16.5" customHeight="1" thickBot="1">
      <c r="B15" s="339" t="s">
        <v>39</v>
      </c>
      <c r="C15" s="340"/>
      <c r="D15" s="341"/>
      <c r="E15" s="108">
        <v>15</v>
      </c>
      <c r="F15" s="342" t="s">
        <v>157</v>
      </c>
      <c r="G15" s="343"/>
      <c r="H15" s="344"/>
      <c r="I15" s="75">
        <v>12</v>
      </c>
      <c r="J15" s="51"/>
      <c r="K15" s="174"/>
      <c r="L15" s="51"/>
      <c r="M15" s="51"/>
      <c r="N15" s="51"/>
      <c r="O15" s="51"/>
      <c r="P15" s="51"/>
      <c r="Q15" s="1"/>
      <c r="R15" s="1"/>
      <c r="S15" s="1"/>
    </row>
    <row r="16" spans="2:12" ht="16.5" thickBot="1">
      <c r="B16" s="360" t="s">
        <v>158</v>
      </c>
      <c r="C16" s="361"/>
      <c r="D16" s="361"/>
      <c r="E16" s="362"/>
      <c r="F16" s="362"/>
      <c r="G16" s="362"/>
      <c r="H16" s="362"/>
      <c r="I16" s="363"/>
      <c r="J16" s="51"/>
      <c r="K16" s="51"/>
      <c r="L16" s="29"/>
    </row>
    <row r="17" spans="2:12" ht="16.5" customHeight="1" thickBot="1">
      <c r="B17" s="51"/>
      <c r="C17" s="51"/>
      <c r="D17" s="51"/>
      <c r="E17" s="51"/>
      <c r="F17" s="51"/>
      <c r="G17" s="51"/>
      <c r="H17" s="51"/>
      <c r="I17" s="51"/>
      <c r="J17" s="1"/>
      <c r="K17" s="1"/>
      <c r="L17" s="1"/>
    </row>
    <row r="18" spans="2:22" ht="16.5" thickBot="1">
      <c r="B18" s="183" t="s">
        <v>50</v>
      </c>
      <c r="C18" s="247"/>
      <c r="D18" s="187"/>
      <c r="E18" s="187"/>
      <c r="F18" s="187"/>
      <c r="G18" s="187"/>
      <c r="H18" s="187"/>
      <c r="I18" s="187"/>
      <c r="J18" s="187"/>
      <c r="K18" s="187"/>
      <c r="L18" s="187"/>
      <c r="M18" s="187"/>
      <c r="N18" s="187"/>
      <c r="O18" s="187"/>
      <c r="P18" s="187"/>
      <c r="Q18" s="187"/>
      <c r="R18" s="187"/>
      <c r="S18" s="188"/>
      <c r="T18" s="1"/>
      <c r="U18" s="1"/>
      <c r="V18" s="1"/>
    </row>
    <row r="19" spans="2:22" ht="16.5" thickBot="1">
      <c r="B19" s="143"/>
      <c r="C19" s="248"/>
      <c r="D19" s="49"/>
      <c r="E19" s="50" t="s">
        <v>239</v>
      </c>
      <c r="F19" s="50" t="s">
        <v>286</v>
      </c>
      <c r="G19" s="50" t="s">
        <v>287</v>
      </c>
      <c r="H19" s="50" t="s">
        <v>67</v>
      </c>
      <c r="I19" s="50" t="s">
        <v>68</v>
      </c>
      <c r="J19" s="50" t="s">
        <v>142</v>
      </c>
      <c r="K19" s="50" t="s">
        <v>143</v>
      </c>
      <c r="L19" s="50" t="s">
        <v>144</v>
      </c>
      <c r="M19" s="50" t="s">
        <v>207</v>
      </c>
      <c r="N19" s="50" t="s">
        <v>37</v>
      </c>
      <c r="O19" s="68" t="s">
        <v>103</v>
      </c>
      <c r="P19" s="68" t="s">
        <v>41</v>
      </c>
      <c r="Q19" s="68" t="s">
        <v>42</v>
      </c>
      <c r="R19" s="68" t="s">
        <v>43</v>
      </c>
      <c r="S19" s="69" t="s">
        <v>44</v>
      </c>
      <c r="T19" s="1"/>
      <c r="U19" s="1"/>
      <c r="V19" s="1"/>
    </row>
    <row r="20" spans="2:22" ht="16.5" thickBot="1">
      <c r="B20" s="136" t="s">
        <v>38</v>
      </c>
      <c r="C20" s="249"/>
      <c r="D20" s="49"/>
      <c r="E20" s="49"/>
      <c r="F20" s="49"/>
      <c r="G20" s="49"/>
      <c r="H20" s="49"/>
      <c r="I20" s="49"/>
      <c r="J20" s="49"/>
      <c r="K20" s="49"/>
      <c r="L20" s="49"/>
      <c r="M20" s="49"/>
      <c r="N20" s="49"/>
      <c r="O20" s="49"/>
      <c r="P20" s="49"/>
      <c r="Q20" s="49"/>
      <c r="R20" s="49"/>
      <c r="S20" s="71"/>
      <c r="T20" s="1"/>
      <c r="U20" s="1"/>
      <c r="V20" s="1"/>
    </row>
    <row r="21" spans="2:22" ht="16.5" thickBot="1">
      <c r="B21" s="137" t="s">
        <v>105</v>
      </c>
      <c r="C21" s="250"/>
      <c r="D21" s="49"/>
      <c r="E21" s="72">
        <f>E22</f>
        <v>10</v>
      </c>
      <c r="F21" s="72">
        <f aca="true" t="shared" si="0" ref="F21:S21">E21+F22</f>
        <v>10</v>
      </c>
      <c r="G21" s="72">
        <f t="shared" si="0"/>
        <v>10</v>
      </c>
      <c r="H21" s="72">
        <f t="shared" si="0"/>
        <v>10</v>
      </c>
      <c r="I21" s="72">
        <f t="shared" si="0"/>
        <v>10</v>
      </c>
      <c r="J21" s="72">
        <f t="shared" si="0"/>
        <v>10</v>
      </c>
      <c r="K21" s="72">
        <f t="shared" si="0"/>
        <v>10</v>
      </c>
      <c r="L21" s="72">
        <f t="shared" si="0"/>
        <v>10</v>
      </c>
      <c r="M21" s="72">
        <f t="shared" si="0"/>
        <v>10</v>
      </c>
      <c r="N21" s="72">
        <f t="shared" si="0"/>
        <v>10</v>
      </c>
      <c r="O21" s="72">
        <f t="shared" si="0"/>
        <v>10</v>
      </c>
      <c r="P21" s="72">
        <f t="shared" si="0"/>
        <v>10</v>
      </c>
      <c r="Q21" s="72">
        <f t="shared" si="0"/>
        <v>10</v>
      </c>
      <c r="R21" s="72">
        <f t="shared" si="0"/>
        <v>10</v>
      </c>
      <c r="S21" s="73">
        <f t="shared" si="0"/>
        <v>10</v>
      </c>
      <c r="T21" s="1"/>
      <c r="U21" s="1"/>
      <c r="V21" s="1"/>
    </row>
    <row r="22" spans="2:22" ht="16.5" thickBot="1">
      <c r="B22" s="137" t="s">
        <v>268</v>
      </c>
      <c r="C22" s="250"/>
      <c r="D22" s="49"/>
      <c r="E22" s="74">
        <v>10</v>
      </c>
      <c r="F22" s="74">
        <v>0</v>
      </c>
      <c r="G22" s="74">
        <v>0</v>
      </c>
      <c r="H22" s="74">
        <v>0</v>
      </c>
      <c r="I22" s="74">
        <v>0</v>
      </c>
      <c r="J22" s="74">
        <v>0</v>
      </c>
      <c r="K22" s="74">
        <v>0</v>
      </c>
      <c r="L22" s="74">
        <v>0</v>
      </c>
      <c r="M22" s="74">
        <v>0</v>
      </c>
      <c r="N22" s="74">
        <v>0</v>
      </c>
      <c r="O22" s="74">
        <v>0</v>
      </c>
      <c r="P22" s="74">
        <v>0</v>
      </c>
      <c r="Q22" s="74">
        <v>0</v>
      </c>
      <c r="R22" s="74">
        <v>0</v>
      </c>
      <c r="S22" s="75">
        <v>0</v>
      </c>
      <c r="T22" s="1"/>
      <c r="U22" s="1"/>
      <c r="V22" s="1"/>
    </row>
    <row r="23" spans="2:22" ht="16.5" thickBot="1">
      <c r="B23" s="137" t="s">
        <v>269</v>
      </c>
      <c r="C23" s="250"/>
      <c r="D23" s="49"/>
      <c r="E23" s="49">
        <v>0</v>
      </c>
      <c r="F23" s="72">
        <f aca="true" t="shared" si="1" ref="F23:S23">E22</f>
        <v>10</v>
      </c>
      <c r="G23" s="72">
        <f t="shared" si="1"/>
        <v>0</v>
      </c>
      <c r="H23" s="72">
        <f t="shared" si="1"/>
        <v>0</v>
      </c>
      <c r="I23" s="72">
        <f t="shared" si="1"/>
        <v>0</v>
      </c>
      <c r="J23" s="72">
        <f t="shared" si="1"/>
        <v>0</v>
      </c>
      <c r="K23" s="72">
        <f t="shared" si="1"/>
        <v>0</v>
      </c>
      <c r="L23" s="72">
        <f t="shared" si="1"/>
        <v>0</v>
      </c>
      <c r="M23" s="72">
        <f t="shared" si="1"/>
        <v>0</v>
      </c>
      <c r="N23" s="72">
        <f t="shared" si="1"/>
        <v>0</v>
      </c>
      <c r="O23" s="72">
        <f t="shared" si="1"/>
        <v>0</v>
      </c>
      <c r="P23" s="72">
        <f t="shared" si="1"/>
        <v>0</v>
      </c>
      <c r="Q23" s="72">
        <f t="shared" si="1"/>
        <v>0</v>
      </c>
      <c r="R23" s="72">
        <f t="shared" si="1"/>
        <v>0</v>
      </c>
      <c r="S23" s="73">
        <f t="shared" si="1"/>
        <v>0</v>
      </c>
      <c r="T23" s="1"/>
      <c r="U23" s="1"/>
      <c r="V23" s="1"/>
    </row>
    <row r="24" spans="2:22" ht="16.5" thickBot="1">
      <c r="B24" s="137" t="s">
        <v>270</v>
      </c>
      <c r="C24" s="250"/>
      <c r="D24" s="49"/>
      <c r="E24" s="49">
        <v>0</v>
      </c>
      <c r="F24" s="49">
        <v>0</v>
      </c>
      <c r="G24" s="72">
        <f>F23</f>
        <v>10</v>
      </c>
      <c r="H24" s="72">
        <f aca="true" t="shared" si="2" ref="H24:N24">G23</f>
        <v>0</v>
      </c>
      <c r="I24" s="72">
        <f t="shared" si="2"/>
        <v>0</v>
      </c>
      <c r="J24" s="72">
        <f t="shared" si="2"/>
        <v>0</v>
      </c>
      <c r="K24" s="72">
        <f t="shared" si="2"/>
        <v>0</v>
      </c>
      <c r="L24" s="72">
        <f t="shared" si="2"/>
        <v>0</v>
      </c>
      <c r="M24" s="72">
        <f t="shared" si="2"/>
        <v>0</v>
      </c>
      <c r="N24" s="72">
        <f t="shared" si="2"/>
        <v>0</v>
      </c>
      <c r="O24" s="72">
        <f>N23</f>
        <v>0</v>
      </c>
      <c r="P24" s="72">
        <f>O23</f>
        <v>0</v>
      </c>
      <c r="Q24" s="72">
        <f>P23</f>
        <v>0</v>
      </c>
      <c r="R24" s="72">
        <f>Q23</f>
        <v>0</v>
      </c>
      <c r="S24" s="73">
        <f>R23</f>
        <v>0</v>
      </c>
      <c r="T24" s="1"/>
      <c r="U24" s="1"/>
      <c r="V24" s="1"/>
    </row>
    <row r="25" spans="2:22" ht="16.5" thickBot="1">
      <c r="B25" s="137" t="s">
        <v>271</v>
      </c>
      <c r="C25" s="250"/>
      <c r="D25" s="49"/>
      <c r="E25" s="49">
        <v>0</v>
      </c>
      <c r="F25" s="49">
        <v>0</v>
      </c>
      <c r="G25" s="49">
        <v>0</v>
      </c>
      <c r="H25" s="72">
        <f>G24</f>
        <v>10</v>
      </c>
      <c r="I25" s="72">
        <f aca="true" t="shared" si="3" ref="I25:N25">H24+H25</f>
        <v>10</v>
      </c>
      <c r="J25" s="72">
        <f t="shared" si="3"/>
        <v>10</v>
      </c>
      <c r="K25" s="72">
        <f t="shared" si="3"/>
        <v>10</v>
      </c>
      <c r="L25" s="72">
        <f t="shared" si="3"/>
        <v>10</v>
      </c>
      <c r="M25" s="72">
        <f t="shared" si="3"/>
        <v>10</v>
      </c>
      <c r="N25" s="72">
        <f t="shared" si="3"/>
        <v>10</v>
      </c>
      <c r="O25" s="72">
        <f>N24+N25</f>
        <v>10</v>
      </c>
      <c r="P25" s="72">
        <f>O24+O25</f>
        <v>10</v>
      </c>
      <c r="Q25" s="72">
        <f>P24+P25</f>
        <v>10</v>
      </c>
      <c r="R25" s="72">
        <f>Q24+Q25</f>
        <v>10</v>
      </c>
      <c r="S25" s="73">
        <f>R24+R25</f>
        <v>10</v>
      </c>
      <c r="T25" s="1"/>
      <c r="U25" s="1"/>
      <c r="V25" s="1"/>
    </row>
    <row r="26" spans="2:22" ht="16.5" thickBot="1">
      <c r="B26" s="137" t="s">
        <v>112</v>
      </c>
      <c r="C26" s="250"/>
      <c r="D26" s="49"/>
      <c r="E26" s="72">
        <v>0</v>
      </c>
      <c r="F26" s="72">
        <f>(SUM(F23*0.4))*E14</f>
        <v>6000</v>
      </c>
      <c r="G26" s="72">
        <f>(SUM(G23*0.4)+(G24*0.9))*E14</f>
        <v>13500</v>
      </c>
      <c r="H26" s="72">
        <f>(SUM(H23*0.4)+(H24*0.9)+(H25))*E14</f>
        <v>15000</v>
      </c>
      <c r="I26" s="72">
        <f>(SUM(I23*0.4)+(I24*0.9)+(I25))*E14</f>
        <v>15000</v>
      </c>
      <c r="J26" s="72">
        <f>(SUM(J23*0.4)+(J24*0.9)+(J25))*E14</f>
        <v>15000</v>
      </c>
      <c r="K26" s="72">
        <f>(SUM(K23*0.4)+(K24*0.9)+(K25))*E14</f>
        <v>15000</v>
      </c>
      <c r="L26" s="72">
        <f>(SUM(L23*0.4)+(L24*0.9)+(L25))*E14</f>
        <v>15000</v>
      </c>
      <c r="M26" s="72">
        <f>(SUM(M23*0.4)+(M24*0.9)+(M25))*E14</f>
        <v>15000</v>
      </c>
      <c r="N26" s="72">
        <f>(SUM(N23*0.4)+(N24*0.9)+(N25))*E14</f>
        <v>15000</v>
      </c>
      <c r="O26" s="72">
        <f>(SUM(O23*0.4)+(O24*0.9)+(O25))*E14</f>
        <v>15000</v>
      </c>
      <c r="P26" s="72">
        <f>(SUM(P23*0.4)+(P24*0.9)+(P25))*E14</f>
        <v>15000</v>
      </c>
      <c r="Q26" s="72">
        <f>(SUM(Q23*0.4)+(Q24*0.9)+(Q25))*E14</f>
        <v>15000</v>
      </c>
      <c r="R26" s="72">
        <f>(SUM(R23*0.4)+(R24*0.9)+(R25))*E14</f>
        <v>15000</v>
      </c>
      <c r="S26" s="73">
        <f>(SUM(S23*0.4)+(S24*0.9)+(S25))*E14</f>
        <v>15000</v>
      </c>
      <c r="T26" s="1"/>
      <c r="U26" s="1"/>
      <c r="V26" s="1"/>
    </row>
    <row r="27" spans="2:22" ht="16.5" thickBot="1">
      <c r="B27" s="143"/>
      <c r="C27" s="248"/>
      <c r="D27" s="49"/>
      <c r="E27" s="49"/>
      <c r="F27" s="49"/>
      <c r="G27" s="49"/>
      <c r="H27" s="49"/>
      <c r="I27" s="49"/>
      <c r="J27" s="49"/>
      <c r="K27" s="49"/>
      <c r="L27" s="49"/>
      <c r="M27" s="49"/>
      <c r="N27" s="49"/>
      <c r="O27" s="49"/>
      <c r="P27" s="49"/>
      <c r="Q27" s="49"/>
      <c r="R27" s="49"/>
      <c r="S27" s="71"/>
      <c r="T27" s="1"/>
      <c r="U27" s="1"/>
      <c r="V27" s="1"/>
    </row>
    <row r="28" spans="2:22" ht="16.5" thickBot="1">
      <c r="B28" s="144" t="s">
        <v>206</v>
      </c>
      <c r="C28" s="251"/>
      <c r="D28" s="68"/>
      <c r="E28" s="76">
        <f>E26*E15</f>
        <v>0</v>
      </c>
      <c r="F28" s="76">
        <f>F26*E15</f>
        <v>90000</v>
      </c>
      <c r="G28" s="76">
        <f>G26*(E15)</f>
        <v>202500</v>
      </c>
      <c r="H28" s="76">
        <f>H26*(E15)</f>
        <v>225000</v>
      </c>
      <c r="I28" s="76">
        <f>I26*(E15)</f>
        <v>225000</v>
      </c>
      <c r="J28" s="76">
        <f>J26*(E15)</f>
        <v>225000</v>
      </c>
      <c r="K28" s="76">
        <f>K26*(E15)</f>
        <v>225000</v>
      </c>
      <c r="L28" s="76">
        <f>L26*(E15)</f>
        <v>225000</v>
      </c>
      <c r="M28" s="76">
        <f>M26*(E15)</f>
        <v>225000</v>
      </c>
      <c r="N28" s="76">
        <f>N26*(E15)</f>
        <v>225000</v>
      </c>
      <c r="O28" s="76">
        <f>O26*(E15)</f>
        <v>225000</v>
      </c>
      <c r="P28" s="76">
        <f>P26*(E15)</f>
        <v>225000</v>
      </c>
      <c r="Q28" s="76">
        <f>Q26*(E15)</f>
        <v>225000</v>
      </c>
      <c r="R28" s="76">
        <f>R26*(E15)</f>
        <v>225000</v>
      </c>
      <c r="S28" s="77">
        <f>S26*(E15)</f>
        <v>225000</v>
      </c>
      <c r="T28" s="1"/>
      <c r="U28" s="1"/>
      <c r="V28" s="1"/>
    </row>
    <row r="29" spans="2:22" ht="16.5" thickBot="1">
      <c r="B29" s="137"/>
      <c r="C29" s="250"/>
      <c r="D29" s="49"/>
      <c r="E29" s="72"/>
      <c r="F29" s="72"/>
      <c r="G29" s="72"/>
      <c r="H29" s="72"/>
      <c r="I29" s="72"/>
      <c r="J29" s="72"/>
      <c r="K29" s="72"/>
      <c r="L29" s="72"/>
      <c r="M29" s="72"/>
      <c r="N29" s="72"/>
      <c r="O29" s="49"/>
      <c r="P29" s="49"/>
      <c r="Q29" s="49"/>
      <c r="R29" s="49"/>
      <c r="S29" s="71"/>
      <c r="T29" s="1"/>
      <c r="U29" s="1"/>
      <c r="V29" s="1"/>
    </row>
    <row r="30" spans="2:22" ht="16.5" thickBot="1">
      <c r="B30" s="135" t="s">
        <v>71</v>
      </c>
      <c r="C30" s="252"/>
      <c r="D30" s="58"/>
      <c r="E30" s="59">
        <f>E28</f>
        <v>0</v>
      </c>
      <c r="F30" s="59">
        <f aca="true" t="shared" si="4" ref="F30:S30">F28</f>
        <v>90000</v>
      </c>
      <c r="G30" s="59">
        <f t="shared" si="4"/>
        <v>202500</v>
      </c>
      <c r="H30" s="59">
        <f t="shared" si="4"/>
        <v>225000</v>
      </c>
      <c r="I30" s="59">
        <f t="shared" si="4"/>
        <v>225000</v>
      </c>
      <c r="J30" s="59">
        <f t="shared" si="4"/>
        <v>225000</v>
      </c>
      <c r="K30" s="59">
        <f t="shared" si="4"/>
        <v>225000</v>
      </c>
      <c r="L30" s="59">
        <f t="shared" si="4"/>
        <v>225000</v>
      </c>
      <c r="M30" s="59">
        <f t="shared" si="4"/>
        <v>225000</v>
      </c>
      <c r="N30" s="59">
        <f t="shared" si="4"/>
        <v>225000</v>
      </c>
      <c r="O30" s="59">
        <f t="shared" si="4"/>
        <v>225000</v>
      </c>
      <c r="P30" s="59">
        <f t="shared" si="4"/>
        <v>225000</v>
      </c>
      <c r="Q30" s="59">
        <f t="shared" si="4"/>
        <v>225000</v>
      </c>
      <c r="R30" s="59">
        <f t="shared" si="4"/>
        <v>225000</v>
      </c>
      <c r="S30" s="59">
        <f t="shared" si="4"/>
        <v>225000</v>
      </c>
      <c r="T30" s="1"/>
      <c r="U30" s="1"/>
      <c r="V30" s="1"/>
    </row>
    <row r="31" spans="2:22" ht="16.5" thickBot="1">
      <c r="B31" s="79"/>
      <c r="C31" s="67"/>
      <c r="D31" s="67"/>
      <c r="E31" s="67"/>
      <c r="F31" s="67"/>
      <c r="G31" s="67"/>
      <c r="H31" s="67"/>
      <c r="I31" s="67"/>
      <c r="J31" s="67"/>
      <c r="K31" s="67"/>
      <c r="L31" s="67"/>
      <c r="M31" s="67"/>
      <c r="N31" s="67"/>
      <c r="O31" s="67"/>
      <c r="P31" s="67"/>
      <c r="Q31" s="67"/>
      <c r="R31" s="67"/>
      <c r="S31" s="67"/>
      <c r="T31" s="1"/>
      <c r="U31" s="1"/>
      <c r="V31" s="1"/>
    </row>
    <row r="32" spans="2:22" ht="16.5" thickBot="1">
      <c r="B32" s="269" t="s">
        <v>113</v>
      </c>
      <c r="C32" s="270"/>
      <c r="D32" s="271"/>
      <c r="E32" s="271"/>
      <c r="F32" s="271"/>
      <c r="G32" s="271"/>
      <c r="H32" s="271"/>
      <c r="I32" s="271"/>
      <c r="J32" s="271"/>
      <c r="K32" s="271"/>
      <c r="L32" s="271"/>
      <c r="M32" s="271"/>
      <c r="N32" s="271"/>
      <c r="O32" s="271"/>
      <c r="P32" s="271"/>
      <c r="Q32" s="271"/>
      <c r="R32" s="271"/>
      <c r="S32" s="272"/>
      <c r="T32" s="1"/>
      <c r="U32" s="1"/>
      <c r="V32" s="1"/>
    </row>
    <row r="33" spans="2:22" ht="16.5" thickBot="1">
      <c r="B33" s="264" t="s">
        <v>114</v>
      </c>
      <c r="C33" s="265"/>
      <c r="D33" s="266" t="s">
        <v>115</v>
      </c>
      <c r="E33" s="267"/>
      <c r="F33" s="267"/>
      <c r="G33" s="267"/>
      <c r="H33" s="267"/>
      <c r="I33" s="267"/>
      <c r="J33" s="267"/>
      <c r="K33" s="267"/>
      <c r="L33" s="267"/>
      <c r="M33" s="267"/>
      <c r="N33" s="267"/>
      <c r="O33" s="267"/>
      <c r="P33" s="267"/>
      <c r="Q33" s="267"/>
      <c r="R33" s="267"/>
      <c r="S33" s="268"/>
      <c r="T33" s="1"/>
      <c r="U33" s="1"/>
      <c r="V33" s="1"/>
    </row>
    <row r="34" spans="2:22" ht="16.5" thickBot="1">
      <c r="B34" s="139" t="s">
        <v>88</v>
      </c>
      <c r="C34" s="305" t="s">
        <v>28</v>
      </c>
      <c r="D34" s="80">
        <v>300</v>
      </c>
      <c r="E34" s="81">
        <f>D34*E22</f>
        <v>3000</v>
      </c>
      <c r="F34" s="81">
        <f>D34*F21</f>
        <v>3000</v>
      </c>
      <c r="G34" s="81">
        <f>D34*G21</f>
        <v>3000</v>
      </c>
      <c r="H34" s="81">
        <f>D34*H21</f>
        <v>3000</v>
      </c>
      <c r="I34" s="81">
        <f>D34*I21</f>
        <v>3000</v>
      </c>
      <c r="J34" s="81">
        <f>D34*J21</f>
        <v>3000</v>
      </c>
      <c r="K34" s="81">
        <f>D34*K21</f>
        <v>3000</v>
      </c>
      <c r="L34" s="81">
        <f>D34*L21</f>
        <v>3000</v>
      </c>
      <c r="M34" s="81">
        <f>D34*M21</f>
        <v>3000</v>
      </c>
      <c r="N34" s="81">
        <f>D34*N21</f>
        <v>3000</v>
      </c>
      <c r="O34" s="81">
        <f>D34*O21</f>
        <v>3000</v>
      </c>
      <c r="P34" s="81">
        <f>D34*P21</f>
        <v>3000</v>
      </c>
      <c r="Q34" s="81">
        <f>D34*Q21</f>
        <v>3000</v>
      </c>
      <c r="R34" s="81">
        <f>D34*R21</f>
        <v>3000</v>
      </c>
      <c r="S34" s="82">
        <f>D34*S21</f>
        <v>3000</v>
      </c>
      <c r="T34" s="1"/>
      <c r="U34" s="1"/>
      <c r="V34" s="1"/>
    </row>
    <row r="35" spans="2:22" ht="16.5" thickBot="1">
      <c r="B35" s="137" t="s">
        <v>240</v>
      </c>
      <c r="C35" s="306"/>
      <c r="D35" s="80">
        <v>150</v>
      </c>
      <c r="E35" s="81">
        <f>D35*E21</f>
        <v>1500</v>
      </c>
      <c r="F35" s="81">
        <f>D35*F21</f>
        <v>1500</v>
      </c>
      <c r="G35" s="81">
        <f>D35*G21</f>
        <v>1500</v>
      </c>
      <c r="H35" s="81">
        <f>D35*H21</f>
        <v>1500</v>
      </c>
      <c r="I35" s="81">
        <f>D35*I21</f>
        <v>1500</v>
      </c>
      <c r="J35" s="81">
        <f>D35*J21</f>
        <v>1500</v>
      </c>
      <c r="K35" s="81">
        <f>D35*K21</f>
        <v>1500</v>
      </c>
      <c r="L35" s="81">
        <f>D35*L21</f>
        <v>1500</v>
      </c>
      <c r="M35" s="81">
        <f>D35*M21</f>
        <v>1500</v>
      </c>
      <c r="N35" s="81">
        <f>D35*N21</f>
        <v>1500</v>
      </c>
      <c r="O35" s="81">
        <f>D35*O21</f>
        <v>1500</v>
      </c>
      <c r="P35" s="81">
        <f>D35*P21</f>
        <v>1500</v>
      </c>
      <c r="Q35" s="81">
        <f>D35*Q21</f>
        <v>1500</v>
      </c>
      <c r="R35" s="81">
        <f>D35*R21</f>
        <v>1500</v>
      </c>
      <c r="S35" s="82">
        <f>D35*S21</f>
        <v>1500</v>
      </c>
      <c r="T35" s="1"/>
      <c r="U35" s="1"/>
      <c r="V35" s="1"/>
    </row>
    <row r="36" spans="2:22" ht="16.5" thickBot="1">
      <c r="B36" s="139" t="s">
        <v>312</v>
      </c>
      <c r="C36" s="306"/>
      <c r="D36" s="80">
        <v>100</v>
      </c>
      <c r="E36" s="81">
        <f>$D$36*E21</f>
        <v>1000</v>
      </c>
      <c r="F36" s="81">
        <f aca="true" t="shared" si="5" ref="F36:S36">$D$36*F21</f>
        <v>1000</v>
      </c>
      <c r="G36" s="81">
        <f t="shared" si="5"/>
        <v>1000</v>
      </c>
      <c r="H36" s="81">
        <f t="shared" si="5"/>
        <v>1000</v>
      </c>
      <c r="I36" s="81">
        <f t="shared" si="5"/>
        <v>1000</v>
      </c>
      <c r="J36" s="81">
        <f t="shared" si="5"/>
        <v>1000</v>
      </c>
      <c r="K36" s="81">
        <f t="shared" si="5"/>
        <v>1000</v>
      </c>
      <c r="L36" s="81">
        <f t="shared" si="5"/>
        <v>1000</v>
      </c>
      <c r="M36" s="81">
        <f t="shared" si="5"/>
        <v>1000</v>
      </c>
      <c r="N36" s="81">
        <f t="shared" si="5"/>
        <v>1000</v>
      </c>
      <c r="O36" s="81">
        <f t="shared" si="5"/>
        <v>1000</v>
      </c>
      <c r="P36" s="81">
        <f t="shared" si="5"/>
        <v>1000</v>
      </c>
      <c r="Q36" s="81">
        <f t="shared" si="5"/>
        <v>1000</v>
      </c>
      <c r="R36" s="81">
        <f t="shared" si="5"/>
        <v>1000</v>
      </c>
      <c r="S36" s="82">
        <f t="shared" si="5"/>
        <v>1000</v>
      </c>
      <c r="T36" s="1"/>
      <c r="U36" s="1"/>
      <c r="V36" s="1"/>
    </row>
    <row r="37" spans="2:22" ht="16.5" thickBot="1">
      <c r="B37" s="137" t="s">
        <v>4</v>
      </c>
      <c r="C37" s="306"/>
      <c r="D37" s="80">
        <v>350</v>
      </c>
      <c r="E37" s="81">
        <f>D37*E21</f>
        <v>3500</v>
      </c>
      <c r="F37" s="81">
        <f>D37*F21</f>
        <v>3500</v>
      </c>
      <c r="G37" s="81">
        <f>D37*G21</f>
        <v>3500</v>
      </c>
      <c r="H37" s="81">
        <f>D37*H21</f>
        <v>3500</v>
      </c>
      <c r="I37" s="81">
        <f>D37*I21</f>
        <v>3500</v>
      </c>
      <c r="J37" s="81">
        <f>D37*J21</f>
        <v>3500</v>
      </c>
      <c r="K37" s="81">
        <f>D37*K21</f>
        <v>3500</v>
      </c>
      <c r="L37" s="81">
        <f>D37*L21</f>
        <v>3500</v>
      </c>
      <c r="M37" s="81">
        <f>D37*M21</f>
        <v>3500</v>
      </c>
      <c r="N37" s="81">
        <f>D37*N21</f>
        <v>3500</v>
      </c>
      <c r="O37" s="54">
        <f aca="true" t="shared" si="6" ref="O37:S41">N37</f>
        <v>3500</v>
      </c>
      <c r="P37" s="54">
        <f t="shared" si="6"/>
        <v>3500</v>
      </c>
      <c r="Q37" s="54">
        <f t="shared" si="6"/>
        <v>3500</v>
      </c>
      <c r="R37" s="54">
        <f t="shared" si="6"/>
        <v>3500</v>
      </c>
      <c r="S37" s="55">
        <f t="shared" si="6"/>
        <v>3500</v>
      </c>
      <c r="T37" s="1"/>
      <c r="U37" s="1"/>
      <c r="V37" s="1"/>
    </row>
    <row r="38" spans="2:22" ht="16.5" thickBot="1">
      <c r="B38" s="137" t="s">
        <v>86</v>
      </c>
      <c r="C38" s="306"/>
      <c r="D38" s="80">
        <v>250</v>
      </c>
      <c r="E38" s="81">
        <f>D38*E21</f>
        <v>2500</v>
      </c>
      <c r="F38" s="81">
        <f>D38*F21</f>
        <v>2500</v>
      </c>
      <c r="G38" s="81">
        <f>D38*G21</f>
        <v>2500</v>
      </c>
      <c r="H38" s="81">
        <f>D38*H21</f>
        <v>2500</v>
      </c>
      <c r="I38" s="81">
        <f>D38*I21</f>
        <v>2500</v>
      </c>
      <c r="J38" s="81">
        <f>D38*J21</f>
        <v>2500</v>
      </c>
      <c r="K38" s="81">
        <f>D38*K21</f>
        <v>2500</v>
      </c>
      <c r="L38" s="81">
        <f>D38*L21</f>
        <v>2500</v>
      </c>
      <c r="M38" s="81">
        <f>D38*M21</f>
        <v>2500</v>
      </c>
      <c r="N38" s="81">
        <f>D38*N21</f>
        <v>2500</v>
      </c>
      <c r="O38" s="54">
        <f t="shared" si="6"/>
        <v>2500</v>
      </c>
      <c r="P38" s="54">
        <f t="shared" si="6"/>
        <v>2500</v>
      </c>
      <c r="Q38" s="54">
        <f t="shared" si="6"/>
        <v>2500</v>
      </c>
      <c r="R38" s="54">
        <f t="shared" si="6"/>
        <v>2500</v>
      </c>
      <c r="S38" s="55">
        <f t="shared" si="6"/>
        <v>2500</v>
      </c>
      <c r="T38" s="1"/>
      <c r="U38" s="1"/>
      <c r="V38" s="1"/>
    </row>
    <row r="39" spans="2:22" ht="16.5" thickBot="1">
      <c r="B39" s="137" t="s">
        <v>251</v>
      </c>
      <c r="C39" s="306"/>
      <c r="D39" s="80">
        <v>600</v>
      </c>
      <c r="E39" s="81">
        <f>D39*E21</f>
        <v>6000</v>
      </c>
      <c r="F39" s="81">
        <f>D39*F21</f>
        <v>6000</v>
      </c>
      <c r="G39" s="81">
        <f>D39*G21</f>
        <v>6000</v>
      </c>
      <c r="H39" s="81">
        <f>D39*H21</f>
        <v>6000</v>
      </c>
      <c r="I39" s="81">
        <f>D39*I21</f>
        <v>6000</v>
      </c>
      <c r="J39" s="81">
        <f>D39*J21</f>
        <v>6000</v>
      </c>
      <c r="K39" s="81">
        <f>D39*K21</f>
        <v>6000</v>
      </c>
      <c r="L39" s="81">
        <f>D39*L21</f>
        <v>6000</v>
      </c>
      <c r="M39" s="81">
        <f>D39*M21</f>
        <v>6000</v>
      </c>
      <c r="N39" s="81">
        <f>D39*N21</f>
        <v>6000</v>
      </c>
      <c r="O39" s="54">
        <f t="shared" si="6"/>
        <v>6000</v>
      </c>
      <c r="P39" s="54">
        <f t="shared" si="6"/>
        <v>6000</v>
      </c>
      <c r="Q39" s="54">
        <f t="shared" si="6"/>
        <v>6000</v>
      </c>
      <c r="R39" s="54">
        <f t="shared" si="6"/>
        <v>6000</v>
      </c>
      <c r="S39" s="55">
        <f t="shared" si="6"/>
        <v>6000</v>
      </c>
      <c r="T39" s="1"/>
      <c r="U39" s="1"/>
      <c r="V39" s="1"/>
    </row>
    <row r="40" spans="2:22" ht="16.5" thickBot="1">
      <c r="B40" s="137" t="s">
        <v>160</v>
      </c>
      <c r="C40" s="306"/>
      <c r="D40" s="80">
        <f>500*I15</f>
        <v>6000</v>
      </c>
      <c r="E40" s="81">
        <f>D40*$E$21</f>
        <v>60000</v>
      </c>
      <c r="F40" s="81">
        <f>D40*F21</f>
        <v>60000</v>
      </c>
      <c r="G40" s="81">
        <f>D40*G21</f>
        <v>60000</v>
      </c>
      <c r="H40" s="81">
        <f>D40*H21</f>
        <v>60000</v>
      </c>
      <c r="I40" s="81">
        <f>D40*I21</f>
        <v>60000</v>
      </c>
      <c r="J40" s="81">
        <f>D40*J21</f>
        <v>60000</v>
      </c>
      <c r="K40" s="81">
        <f>D40*K21</f>
        <v>60000</v>
      </c>
      <c r="L40" s="81">
        <f>D40*L21</f>
        <v>60000</v>
      </c>
      <c r="M40" s="81">
        <f>D40*M21</f>
        <v>60000</v>
      </c>
      <c r="N40" s="81">
        <f>D40*N21</f>
        <v>60000</v>
      </c>
      <c r="O40" s="54">
        <f t="shared" si="6"/>
        <v>60000</v>
      </c>
      <c r="P40" s="54">
        <f t="shared" si="6"/>
        <v>60000</v>
      </c>
      <c r="Q40" s="54">
        <f t="shared" si="6"/>
        <v>60000</v>
      </c>
      <c r="R40" s="54">
        <f t="shared" si="6"/>
        <v>60000</v>
      </c>
      <c r="S40" s="55">
        <f t="shared" si="6"/>
        <v>60000</v>
      </c>
      <c r="T40" s="1"/>
      <c r="U40" s="1"/>
      <c r="V40" s="1"/>
    </row>
    <row r="41" spans="2:22" ht="16.5" thickBot="1">
      <c r="B41" s="139" t="s">
        <v>168</v>
      </c>
      <c r="C41" s="308"/>
      <c r="D41" s="80">
        <v>0</v>
      </c>
      <c r="E41" s="81">
        <v>0</v>
      </c>
      <c r="F41" s="81">
        <v>0</v>
      </c>
      <c r="G41" s="81">
        <v>0</v>
      </c>
      <c r="H41" s="81">
        <v>0</v>
      </c>
      <c r="I41" s="81">
        <v>0</v>
      </c>
      <c r="J41" s="81">
        <v>0</v>
      </c>
      <c r="K41" s="81">
        <v>0</v>
      </c>
      <c r="L41" s="81">
        <v>0</v>
      </c>
      <c r="M41" s="81">
        <v>0</v>
      </c>
      <c r="N41" s="81">
        <v>0</v>
      </c>
      <c r="O41" s="54">
        <f t="shared" si="6"/>
        <v>0</v>
      </c>
      <c r="P41" s="54">
        <f t="shared" si="6"/>
        <v>0</v>
      </c>
      <c r="Q41" s="54">
        <f t="shared" si="6"/>
        <v>0</v>
      </c>
      <c r="R41" s="54">
        <f t="shared" si="6"/>
        <v>0</v>
      </c>
      <c r="S41" s="55">
        <f t="shared" si="6"/>
        <v>0</v>
      </c>
      <c r="T41" s="1"/>
      <c r="U41" s="1"/>
      <c r="V41" s="1"/>
    </row>
    <row r="42" spans="2:22" ht="16.5" thickBot="1">
      <c r="B42" s="137" t="s">
        <v>249</v>
      </c>
      <c r="C42" s="305" t="s">
        <v>26</v>
      </c>
      <c r="D42" s="80">
        <v>100</v>
      </c>
      <c r="E42" s="81">
        <f aca="true" t="shared" si="7" ref="E42:S42">$D$42*E21</f>
        <v>1000</v>
      </c>
      <c r="F42" s="81">
        <f t="shared" si="7"/>
        <v>1000</v>
      </c>
      <c r="G42" s="81">
        <f t="shared" si="7"/>
        <v>1000</v>
      </c>
      <c r="H42" s="81">
        <f t="shared" si="7"/>
        <v>1000</v>
      </c>
      <c r="I42" s="81">
        <f t="shared" si="7"/>
        <v>1000</v>
      </c>
      <c r="J42" s="81">
        <f t="shared" si="7"/>
        <v>1000</v>
      </c>
      <c r="K42" s="81">
        <f t="shared" si="7"/>
        <v>1000</v>
      </c>
      <c r="L42" s="81">
        <f t="shared" si="7"/>
        <v>1000</v>
      </c>
      <c r="M42" s="81">
        <f t="shared" si="7"/>
        <v>1000</v>
      </c>
      <c r="N42" s="81">
        <f t="shared" si="7"/>
        <v>1000</v>
      </c>
      <c r="O42" s="81">
        <f t="shared" si="7"/>
        <v>1000</v>
      </c>
      <c r="P42" s="81">
        <f t="shared" si="7"/>
        <v>1000</v>
      </c>
      <c r="Q42" s="81">
        <f t="shared" si="7"/>
        <v>1000</v>
      </c>
      <c r="R42" s="81">
        <f t="shared" si="7"/>
        <v>1000</v>
      </c>
      <c r="S42" s="82">
        <f t="shared" si="7"/>
        <v>1000</v>
      </c>
      <c r="T42" s="1"/>
      <c r="U42" s="1"/>
      <c r="V42" s="1"/>
    </row>
    <row r="43" spans="2:22" ht="16.5" thickBot="1">
      <c r="B43" s="137" t="s">
        <v>130</v>
      </c>
      <c r="C43" s="306"/>
      <c r="D43" s="80">
        <v>540</v>
      </c>
      <c r="E43" s="81">
        <v>0</v>
      </c>
      <c r="F43" s="81">
        <f>(D43*(F21*0.4))</f>
        <v>2160</v>
      </c>
      <c r="G43" s="81">
        <f>D43*(G21/2)</f>
        <v>2700</v>
      </c>
      <c r="H43" s="81">
        <f>D43*H21</f>
        <v>5400</v>
      </c>
      <c r="I43" s="81">
        <f>D43*I21</f>
        <v>5400</v>
      </c>
      <c r="J43" s="81">
        <f>D43*J21</f>
        <v>5400</v>
      </c>
      <c r="K43" s="81">
        <f>D43*K21</f>
        <v>5400</v>
      </c>
      <c r="L43" s="81">
        <f>D43*L21</f>
        <v>5400</v>
      </c>
      <c r="M43" s="81">
        <f>D43*M21</f>
        <v>5400</v>
      </c>
      <c r="N43" s="81">
        <f>D43*N21</f>
        <v>5400</v>
      </c>
      <c r="O43" s="54">
        <f>N43</f>
        <v>5400</v>
      </c>
      <c r="P43" s="54">
        <f>O43</f>
        <v>5400</v>
      </c>
      <c r="Q43" s="54">
        <f>P43</f>
        <v>5400</v>
      </c>
      <c r="R43" s="54">
        <f>Q43</f>
        <v>5400</v>
      </c>
      <c r="S43" s="55">
        <f>R43</f>
        <v>5400</v>
      </c>
      <c r="T43" s="1"/>
      <c r="U43" s="1"/>
      <c r="V43" s="1"/>
    </row>
    <row r="44" spans="2:22" ht="16.5" thickBot="1">
      <c r="B44" s="137" t="s">
        <v>211</v>
      </c>
      <c r="C44" s="306"/>
      <c r="D44" s="80">
        <f>40*I15</f>
        <v>480</v>
      </c>
      <c r="E44" s="81">
        <v>0</v>
      </c>
      <c r="F44" s="81">
        <f>D44*(F21*0.4)</f>
        <v>1920</v>
      </c>
      <c r="G44" s="81">
        <f>(D44*(G21*0.9))+(D44*(G23*0.4))</f>
        <v>4320</v>
      </c>
      <c r="H44" s="81">
        <f>($D$44*H25)+($D$44*(H23*0.4))+($D$44*(H24*0.9))</f>
        <v>4800</v>
      </c>
      <c r="I44" s="81">
        <f aca="true" t="shared" si="8" ref="I44:S44">($D$44*I25)+($D$44*(I23*0.4))+($D$44*(I24*0.9))</f>
        <v>4800</v>
      </c>
      <c r="J44" s="81">
        <f t="shared" si="8"/>
        <v>4800</v>
      </c>
      <c r="K44" s="81">
        <f t="shared" si="8"/>
        <v>4800</v>
      </c>
      <c r="L44" s="81">
        <f t="shared" si="8"/>
        <v>4800</v>
      </c>
      <c r="M44" s="81">
        <f t="shared" si="8"/>
        <v>4800</v>
      </c>
      <c r="N44" s="81">
        <f t="shared" si="8"/>
        <v>4800</v>
      </c>
      <c r="O44" s="81">
        <f t="shared" si="8"/>
        <v>4800</v>
      </c>
      <c r="P44" s="81">
        <f t="shared" si="8"/>
        <v>4800</v>
      </c>
      <c r="Q44" s="81">
        <f t="shared" si="8"/>
        <v>4800</v>
      </c>
      <c r="R44" s="81">
        <f t="shared" si="8"/>
        <v>4800</v>
      </c>
      <c r="S44" s="82">
        <f t="shared" si="8"/>
        <v>4800</v>
      </c>
      <c r="T44" s="1"/>
      <c r="U44" s="1"/>
      <c r="V44" s="1"/>
    </row>
    <row r="45" spans="2:22" ht="16.5" thickBot="1">
      <c r="B45" s="139" t="s">
        <v>30</v>
      </c>
      <c r="C45" s="306"/>
      <c r="D45" s="80">
        <v>750</v>
      </c>
      <c r="E45" s="81">
        <f>D45*E22</f>
        <v>7500</v>
      </c>
      <c r="F45" s="81">
        <f>D45*F21</f>
        <v>7500</v>
      </c>
      <c r="G45" s="81">
        <f>D45*G21</f>
        <v>7500</v>
      </c>
      <c r="H45" s="81">
        <f>D45*H21</f>
        <v>7500</v>
      </c>
      <c r="I45" s="81">
        <f>D45*I21</f>
        <v>7500</v>
      </c>
      <c r="J45" s="81">
        <f>D45*J21</f>
        <v>7500</v>
      </c>
      <c r="K45" s="81">
        <f>D45*K21</f>
        <v>7500</v>
      </c>
      <c r="L45" s="81">
        <f>D45*L21</f>
        <v>7500</v>
      </c>
      <c r="M45" s="81">
        <f>D45*M21</f>
        <v>7500</v>
      </c>
      <c r="N45" s="81">
        <f>D45*N21</f>
        <v>7500</v>
      </c>
      <c r="O45" s="54">
        <f>N45</f>
        <v>7500</v>
      </c>
      <c r="P45" s="54">
        <f>O45</f>
        <v>7500</v>
      </c>
      <c r="Q45" s="54">
        <f>P45</f>
        <v>7500</v>
      </c>
      <c r="R45" s="54">
        <f>Q45</f>
        <v>7500</v>
      </c>
      <c r="S45" s="55">
        <f>R45</f>
        <v>7500</v>
      </c>
      <c r="T45" s="1"/>
      <c r="U45" s="1"/>
      <c r="V45" s="1"/>
    </row>
    <row r="46" spans="2:22" ht="16.5" thickBot="1">
      <c r="B46" s="137" t="s">
        <v>175</v>
      </c>
      <c r="C46" s="306"/>
      <c r="D46" s="80">
        <v>0</v>
      </c>
      <c r="E46" s="81">
        <f>(E30*0.005)</f>
        <v>0</v>
      </c>
      <c r="F46" s="81">
        <f aca="true" t="shared" si="9" ref="F46:S46">(F30*0.005)</f>
        <v>450</v>
      </c>
      <c r="G46" s="81">
        <f t="shared" si="9"/>
        <v>1012.5</v>
      </c>
      <c r="H46" s="81">
        <f t="shared" si="9"/>
        <v>1125</v>
      </c>
      <c r="I46" s="81">
        <f t="shared" si="9"/>
        <v>1125</v>
      </c>
      <c r="J46" s="81">
        <f t="shared" si="9"/>
        <v>1125</v>
      </c>
      <c r="K46" s="81">
        <f t="shared" si="9"/>
        <v>1125</v>
      </c>
      <c r="L46" s="81">
        <f t="shared" si="9"/>
        <v>1125</v>
      </c>
      <c r="M46" s="81">
        <f t="shared" si="9"/>
        <v>1125</v>
      </c>
      <c r="N46" s="81">
        <f t="shared" si="9"/>
        <v>1125</v>
      </c>
      <c r="O46" s="81">
        <f t="shared" si="9"/>
        <v>1125</v>
      </c>
      <c r="P46" s="81">
        <f t="shared" si="9"/>
        <v>1125</v>
      </c>
      <c r="Q46" s="81">
        <f t="shared" si="9"/>
        <v>1125</v>
      </c>
      <c r="R46" s="81">
        <f t="shared" si="9"/>
        <v>1125</v>
      </c>
      <c r="S46" s="82">
        <f t="shared" si="9"/>
        <v>1125</v>
      </c>
      <c r="T46" s="1"/>
      <c r="U46" s="1"/>
      <c r="V46" s="1"/>
    </row>
    <row r="47" spans="2:22" ht="16.5" thickBot="1">
      <c r="B47" s="139" t="s">
        <v>121</v>
      </c>
      <c r="C47" s="306"/>
      <c r="D47" s="80">
        <v>300</v>
      </c>
      <c r="E47" s="81">
        <f>$D$47*E21</f>
        <v>3000</v>
      </c>
      <c r="F47" s="81">
        <f aca="true" t="shared" si="10" ref="F47:S47">$D$47*F21</f>
        <v>3000</v>
      </c>
      <c r="G47" s="81">
        <f t="shared" si="10"/>
        <v>3000</v>
      </c>
      <c r="H47" s="81">
        <f t="shared" si="10"/>
        <v>3000</v>
      </c>
      <c r="I47" s="81">
        <f t="shared" si="10"/>
        <v>3000</v>
      </c>
      <c r="J47" s="81">
        <f t="shared" si="10"/>
        <v>3000</v>
      </c>
      <c r="K47" s="81">
        <f t="shared" si="10"/>
        <v>3000</v>
      </c>
      <c r="L47" s="81">
        <f t="shared" si="10"/>
        <v>3000</v>
      </c>
      <c r="M47" s="81">
        <f t="shared" si="10"/>
        <v>3000</v>
      </c>
      <c r="N47" s="81">
        <f t="shared" si="10"/>
        <v>3000</v>
      </c>
      <c r="O47" s="81">
        <f t="shared" si="10"/>
        <v>3000</v>
      </c>
      <c r="P47" s="81">
        <f t="shared" si="10"/>
        <v>3000</v>
      </c>
      <c r="Q47" s="81">
        <f t="shared" si="10"/>
        <v>3000</v>
      </c>
      <c r="R47" s="81">
        <f t="shared" si="10"/>
        <v>3000</v>
      </c>
      <c r="S47" s="82">
        <f t="shared" si="10"/>
        <v>3000</v>
      </c>
      <c r="T47" s="1"/>
      <c r="U47" s="1"/>
      <c r="V47" s="1"/>
    </row>
    <row r="48" spans="1:22" ht="16.5" thickBot="1">
      <c r="A48" t="s">
        <v>250</v>
      </c>
      <c r="B48" s="137" t="s">
        <v>182</v>
      </c>
      <c r="C48" s="306"/>
      <c r="D48" s="80">
        <v>250</v>
      </c>
      <c r="E48" s="81">
        <f>D48*E21</f>
        <v>2500</v>
      </c>
      <c r="F48" s="81">
        <f>D48*F21</f>
        <v>2500</v>
      </c>
      <c r="G48" s="81">
        <f>D48*G21</f>
        <v>2500</v>
      </c>
      <c r="H48" s="81">
        <f>D48*H21</f>
        <v>2500</v>
      </c>
      <c r="I48" s="81">
        <f>D48*I21</f>
        <v>2500</v>
      </c>
      <c r="J48" s="81">
        <f>D48*J21</f>
        <v>2500</v>
      </c>
      <c r="K48" s="81">
        <f>D48*K21</f>
        <v>2500</v>
      </c>
      <c r="L48" s="81">
        <f>D48*L21</f>
        <v>2500</v>
      </c>
      <c r="M48" s="81">
        <f>D48*M21</f>
        <v>2500</v>
      </c>
      <c r="N48" s="81">
        <f>D48*N21</f>
        <v>2500</v>
      </c>
      <c r="O48" s="54">
        <f aca="true" t="shared" si="11" ref="O48:S49">N48</f>
        <v>2500</v>
      </c>
      <c r="P48" s="54">
        <f t="shared" si="11"/>
        <v>2500</v>
      </c>
      <c r="Q48" s="54">
        <f t="shared" si="11"/>
        <v>2500</v>
      </c>
      <c r="R48" s="54">
        <f t="shared" si="11"/>
        <v>2500</v>
      </c>
      <c r="S48" s="55">
        <f t="shared" si="11"/>
        <v>2500</v>
      </c>
      <c r="T48" s="1"/>
      <c r="U48" s="1"/>
      <c r="V48" s="1"/>
    </row>
    <row r="49" spans="2:22" ht="16.5" thickBot="1">
      <c r="B49" s="137" t="s">
        <v>36</v>
      </c>
      <c r="C49" s="308"/>
      <c r="D49" s="80">
        <v>100</v>
      </c>
      <c r="E49" s="81">
        <f>D49*E21</f>
        <v>1000</v>
      </c>
      <c r="F49" s="81">
        <f>D49*F21</f>
        <v>1000</v>
      </c>
      <c r="G49" s="81">
        <f>D49*G21</f>
        <v>1000</v>
      </c>
      <c r="H49" s="81">
        <f>D49*H21</f>
        <v>1000</v>
      </c>
      <c r="I49" s="81">
        <f>D49*I21</f>
        <v>1000</v>
      </c>
      <c r="J49" s="81">
        <f>D49*J21</f>
        <v>1000</v>
      </c>
      <c r="K49" s="81">
        <f>D49*K21</f>
        <v>1000</v>
      </c>
      <c r="L49" s="81">
        <f>D49*L21</f>
        <v>1000</v>
      </c>
      <c r="M49" s="81">
        <f>D49*M21</f>
        <v>1000</v>
      </c>
      <c r="N49" s="81">
        <f>D49*N21</f>
        <v>1000</v>
      </c>
      <c r="O49" s="54">
        <f t="shared" si="11"/>
        <v>1000</v>
      </c>
      <c r="P49" s="54">
        <f t="shared" si="11"/>
        <v>1000</v>
      </c>
      <c r="Q49" s="54">
        <f t="shared" si="11"/>
        <v>1000</v>
      </c>
      <c r="R49" s="54">
        <f t="shared" si="11"/>
        <v>1000</v>
      </c>
      <c r="S49" s="55">
        <f t="shared" si="11"/>
        <v>1000</v>
      </c>
      <c r="T49" s="1"/>
      <c r="U49" s="1"/>
      <c r="V49" s="1"/>
    </row>
    <row r="50" spans="2:22" ht="16.5" thickBot="1">
      <c r="B50" s="146" t="s">
        <v>313</v>
      </c>
      <c r="C50" s="263"/>
      <c r="D50" s="273">
        <f aca="true" t="shared" si="12" ref="D50:S50">SUM(D34:D49)</f>
        <v>10270</v>
      </c>
      <c r="E50" s="273">
        <f t="shared" si="12"/>
        <v>92500</v>
      </c>
      <c r="F50" s="273">
        <f t="shared" si="12"/>
        <v>97030</v>
      </c>
      <c r="G50" s="273">
        <f t="shared" si="12"/>
        <v>100532.5</v>
      </c>
      <c r="H50" s="273">
        <f t="shared" si="12"/>
        <v>103825</v>
      </c>
      <c r="I50" s="273">
        <f t="shared" si="12"/>
        <v>103825</v>
      </c>
      <c r="J50" s="273">
        <f t="shared" si="12"/>
        <v>103825</v>
      </c>
      <c r="K50" s="273">
        <f t="shared" si="12"/>
        <v>103825</v>
      </c>
      <c r="L50" s="273">
        <f t="shared" si="12"/>
        <v>103825</v>
      </c>
      <c r="M50" s="273">
        <f t="shared" si="12"/>
        <v>103825</v>
      </c>
      <c r="N50" s="273">
        <f t="shared" si="12"/>
        <v>103825</v>
      </c>
      <c r="O50" s="273">
        <f t="shared" si="12"/>
        <v>103825</v>
      </c>
      <c r="P50" s="273">
        <f t="shared" si="12"/>
        <v>103825</v>
      </c>
      <c r="Q50" s="273">
        <f t="shared" si="12"/>
        <v>103825</v>
      </c>
      <c r="R50" s="273">
        <f t="shared" si="12"/>
        <v>103825</v>
      </c>
      <c r="S50" s="274">
        <f t="shared" si="12"/>
        <v>103825</v>
      </c>
      <c r="T50" s="1"/>
      <c r="U50" s="1"/>
      <c r="V50" s="1"/>
    </row>
    <row r="51" spans="2:22" ht="16.5" thickBot="1">
      <c r="B51" s="278"/>
      <c r="C51" s="279"/>
      <c r="D51" s="280"/>
      <c r="E51" s="280"/>
      <c r="F51" s="280"/>
      <c r="G51" s="280"/>
      <c r="H51" s="280"/>
      <c r="I51" s="280"/>
      <c r="J51" s="280"/>
      <c r="K51" s="280"/>
      <c r="L51" s="280"/>
      <c r="M51" s="280"/>
      <c r="N51" s="280"/>
      <c r="O51" s="280"/>
      <c r="P51" s="280"/>
      <c r="Q51" s="280"/>
      <c r="R51" s="280"/>
      <c r="S51" s="281"/>
      <c r="T51" s="1"/>
      <c r="U51" s="1"/>
      <c r="V51" s="1"/>
    </row>
    <row r="52" spans="2:22" ht="16.5" thickBot="1">
      <c r="B52" s="264" t="s">
        <v>3</v>
      </c>
      <c r="C52" s="275"/>
      <c r="D52" s="266" t="s">
        <v>31</v>
      </c>
      <c r="E52" s="267"/>
      <c r="F52" s="267"/>
      <c r="G52" s="267"/>
      <c r="H52" s="267"/>
      <c r="I52" s="267"/>
      <c r="J52" s="267"/>
      <c r="K52" s="267"/>
      <c r="L52" s="267"/>
      <c r="M52" s="267"/>
      <c r="N52" s="267"/>
      <c r="O52" s="267"/>
      <c r="P52" s="267"/>
      <c r="Q52" s="267"/>
      <c r="R52" s="267"/>
      <c r="S52" s="268"/>
      <c r="T52" s="1"/>
      <c r="U52" s="1"/>
      <c r="V52" s="1"/>
    </row>
    <row r="53" spans="2:22" ht="16.5" thickBot="1">
      <c r="B53" s="137" t="s">
        <v>259</v>
      </c>
      <c r="C53" s="345" t="s">
        <v>262</v>
      </c>
      <c r="D53" s="85">
        <v>1440</v>
      </c>
      <c r="E53" s="53">
        <f>D53</f>
        <v>1440</v>
      </c>
      <c r="F53" s="53">
        <f aca="true" t="shared" si="13" ref="F53:S54">E53</f>
        <v>1440</v>
      </c>
      <c r="G53" s="53">
        <f t="shared" si="13"/>
        <v>1440</v>
      </c>
      <c r="H53" s="53">
        <f t="shared" si="13"/>
        <v>1440</v>
      </c>
      <c r="I53" s="53">
        <f t="shared" si="13"/>
        <v>1440</v>
      </c>
      <c r="J53" s="53">
        <f t="shared" si="13"/>
        <v>1440</v>
      </c>
      <c r="K53" s="53">
        <f t="shared" si="13"/>
        <v>1440</v>
      </c>
      <c r="L53" s="53">
        <f t="shared" si="13"/>
        <v>1440</v>
      </c>
      <c r="M53" s="53">
        <f t="shared" si="13"/>
        <v>1440</v>
      </c>
      <c r="N53" s="53">
        <f t="shared" si="13"/>
        <v>1440</v>
      </c>
      <c r="O53" s="53">
        <f t="shared" si="13"/>
        <v>1440</v>
      </c>
      <c r="P53" s="53">
        <f t="shared" si="13"/>
        <v>1440</v>
      </c>
      <c r="Q53" s="53">
        <f t="shared" si="13"/>
        <v>1440</v>
      </c>
      <c r="R53" s="53">
        <f t="shared" si="13"/>
        <v>1440</v>
      </c>
      <c r="S53" s="56">
        <f t="shared" si="13"/>
        <v>1440</v>
      </c>
      <c r="T53" s="1"/>
      <c r="U53" s="1"/>
      <c r="V53" s="1"/>
    </row>
    <row r="54" spans="2:22" ht="16.5" thickBot="1">
      <c r="B54" s="139" t="s">
        <v>315</v>
      </c>
      <c r="C54" s="306"/>
      <c r="D54" s="85">
        <v>5000</v>
      </c>
      <c r="E54" s="53">
        <f>D54</f>
        <v>5000</v>
      </c>
      <c r="F54" s="53">
        <f aca="true" t="shared" si="14" ref="F54:N54">E54</f>
        <v>5000</v>
      </c>
      <c r="G54" s="53">
        <f t="shared" si="14"/>
        <v>5000</v>
      </c>
      <c r="H54" s="53">
        <f t="shared" si="14"/>
        <v>5000</v>
      </c>
      <c r="I54" s="53">
        <f t="shared" si="14"/>
        <v>5000</v>
      </c>
      <c r="J54" s="53">
        <f t="shared" si="14"/>
        <v>5000</v>
      </c>
      <c r="K54" s="53">
        <f t="shared" si="14"/>
        <v>5000</v>
      </c>
      <c r="L54" s="53">
        <f t="shared" si="14"/>
        <v>5000</v>
      </c>
      <c r="M54" s="53">
        <f t="shared" si="14"/>
        <v>5000</v>
      </c>
      <c r="N54" s="53">
        <f t="shared" si="14"/>
        <v>5000</v>
      </c>
      <c r="O54" s="53">
        <f t="shared" si="13"/>
        <v>5000</v>
      </c>
      <c r="P54" s="53">
        <f t="shared" si="13"/>
        <v>5000</v>
      </c>
      <c r="Q54" s="53">
        <f t="shared" si="13"/>
        <v>5000</v>
      </c>
      <c r="R54" s="53">
        <f t="shared" si="13"/>
        <v>5000</v>
      </c>
      <c r="S54" s="56">
        <f t="shared" si="13"/>
        <v>5000</v>
      </c>
      <c r="T54" s="1"/>
      <c r="U54" s="1"/>
      <c r="V54" s="1"/>
    </row>
    <row r="55" spans="2:22" ht="16.5" thickBot="1">
      <c r="B55" s="137" t="s">
        <v>161</v>
      </c>
      <c r="C55" s="306"/>
      <c r="D55" s="85">
        <v>0</v>
      </c>
      <c r="E55" s="53">
        <v>240</v>
      </c>
      <c r="F55" s="53">
        <v>240</v>
      </c>
      <c r="G55" s="53">
        <v>240</v>
      </c>
      <c r="H55" s="53">
        <v>240</v>
      </c>
      <c r="I55" s="53">
        <v>240</v>
      </c>
      <c r="J55" s="53">
        <v>240</v>
      </c>
      <c r="K55" s="53">
        <v>240</v>
      </c>
      <c r="L55" s="53">
        <v>240</v>
      </c>
      <c r="M55" s="53">
        <v>240</v>
      </c>
      <c r="N55" s="53">
        <v>240</v>
      </c>
      <c r="O55" s="53">
        <v>240</v>
      </c>
      <c r="P55" s="53">
        <v>240</v>
      </c>
      <c r="Q55" s="53">
        <v>240</v>
      </c>
      <c r="R55" s="53">
        <v>240</v>
      </c>
      <c r="S55" s="56">
        <v>240</v>
      </c>
      <c r="T55" s="1"/>
      <c r="U55" s="1"/>
      <c r="V55" s="1"/>
    </row>
    <row r="56" spans="2:22" ht="16.5" thickBot="1">
      <c r="B56" s="139" t="s">
        <v>78</v>
      </c>
      <c r="C56" s="306"/>
      <c r="D56" s="85">
        <v>300</v>
      </c>
      <c r="E56" s="53">
        <f>$D$56*E21</f>
        <v>3000</v>
      </c>
      <c r="F56" s="53">
        <f aca="true" t="shared" si="15" ref="F56:S56">$D$56*F21</f>
        <v>3000</v>
      </c>
      <c r="G56" s="53">
        <f t="shared" si="15"/>
        <v>3000</v>
      </c>
      <c r="H56" s="53">
        <f t="shared" si="15"/>
        <v>3000</v>
      </c>
      <c r="I56" s="53">
        <f t="shared" si="15"/>
        <v>3000</v>
      </c>
      <c r="J56" s="53">
        <f t="shared" si="15"/>
        <v>3000</v>
      </c>
      <c r="K56" s="53">
        <f t="shared" si="15"/>
        <v>3000</v>
      </c>
      <c r="L56" s="53">
        <f t="shared" si="15"/>
        <v>3000</v>
      </c>
      <c r="M56" s="53">
        <f t="shared" si="15"/>
        <v>3000</v>
      </c>
      <c r="N56" s="53">
        <f t="shared" si="15"/>
        <v>3000</v>
      </c>
      <c r="O56" s="53">
        <f t="shared" si="15"/>
        <v>3000</v>
      </c>
      <c r="P56" s="53">
        <f t="shared" si="15"/>
        <v>3000</v>
      </c>
      <c r="Q56" s="53">
        <f t="shared" si="15"/>
        <v>3000</v>
      </c>
      <c r="R56" s="53">
        <f t="shared" si="15"/>
        <v>3000</v>
      </c>
      <c r="S56" s="56">
        <f t="shared" si="15"/>
        <v>3000</v>
      </c>
      <c r="T56" s="1"/>
      <c r="U56" s="1"/>
      <c r="V56" s="1"/>
    </row>
    <row r="57" spans="2:22" ht="16.5" thickBot="1">
      <c r="B57" s="139" t="s">
        <v>181</v>
      </c>
      <c r="C57" s="306"/>
      <c r="D57" s="85">
        <v>0</v>
      </c>
      <c r="E57" s="53">
        <v>500</v>
      </c>
      <c r="F57" s="53">
        <v>500</v>
      </c>
      <c r="G57" s="53">
        <v>500</v>
      </c>
      <c r="H57" s="53">
        <v>500</v>
      </c>
      <c r="I57" s="53">
        <v>500</v>
      </c>
      <c r="J57" s="53">
        <v>500</v>
      </c>
      <c r="K57" s="53">
        <v>500</v>
      </c>
      <c r="L57" s="53">
        <v>500</v>
      </c>
      <c r="M57" s="53">
        <v>500</v>
      </c>
      <c r="N57" s="53">
        <v>500</v>
      </c>
      <c r="O57" s="53">
        <v>500</v>
      </c>
      <c r="P57" s="53">
        <v>500</v>
      </c>
      <c r="Q57" s="53">
        <v>500</v>
      </c>
      <c r="R57" s="53">
        <v>500</v>
      </c>
      <c r="S57" s="56">
        <v>500</v>
      </c>
      <c r="T57" s="1"/>
      <c r="U57" s="1"/>
      <c r="V57" s="1"/>
    </row>
    <row r="58" spans="2:22" ht="16.5" thickBot="1">
      <c r="B58" s="137" t="s">
        <v>96</v>
      </c>
      <c r="C58" s="306"/>
      <c r="D58" s="85">
        <v>0</v>
      </c>
      <c r="E58" s="86">
        <f aca="true" t="shared" si="16" ref="E58:E64">D58</f>
        <v>0</v>
      </c>
      <c r="F58" s="86">
        <f aca="true" t="shared" si="17" ref="F58:N58">E58</f>
        <v>0</v>
      </c>
      <c r="G58" s="86">
        <f t="shared" si="17"/>
        <v>0</v>
      </c>
      <c r="H58" s="86">
        <f t="shared" si="17"/>
        <v>0</v>
      </c>
      <c r="I58" s="86">
        <f t="shared" si="17"/>
        <v>0</v>
      </c>
      <c r="J58" s="86">
        <f t="shared" si="17"/>
        <v>0</v>
      </c>
      <c r="K58" s="86">
        <f t="shared" si="17"/>
        <v>0</v>
      </c>
      <c r="L58" s="86">
        <f t="shared" si="17"/>
        <v>0</v>
      </c>
      <c r="M58" s="86">
        <f t="shared" si="17"/>
        <v>0</v>
      </c>
      <c r="N58" s="86">
        <f t="shared" si="17"/>
        <v>0</v>
      </c>
      <c r="O58" s="86">
        <f aca="true" t="shared" si="18" ref="O58:S59">N58</f>
        <v>0</v>
      </c>
      <c r="P58" s="86">
        <f t="shared" si="18"/>
        <v>0</v>
      </c>
      <c r="Q58" s="86">
        <f t="shared" si="18"/>
        <v>0</v>
      </c>
      <c r="R58" s="86">
        <f t="shared" si="18"/>
        <v>0</v>
      </c>
      <c r="S58" s="87">
        <f t="shared" si="18"/>
        <v>0</v>
      </c>
      <c r="T58" s="1"/>
      <c r="U58" s="1"/>
      <c r="V58" s="1"/>
    </row>
    <row r="59" spans="2:22" ht="16.5" thickBot="1">
      <c r="B59" s="137" t="s">
        <v>171</v>
      </c>
      <c r="C59" s="306"/>
      <c r="D59" s="85">
        <v>0</v>
      </c>
      <c r="E59" s="86">
        <f t="shared" si="16"/>
        <v>0</v>
      </c>
      <c r="F59" s="86">
        <f aca="true" t="shared" si="19" ref="F59:N59">E59</f>
        <v>0</v>
      </c>
      <c r="G59" s="86">
        <f t="shared" si="19"/>
        <v>0</v>
      </c>
      <c r="H59" s="86">
        <f t="shared" si="19"/>
        <v>0</v>
      </c>
      <c r="I59" s="86">
        <f t="shared" si="19"/>
        <v>0</v>
      </c>
      <c r="J59" s="86">
        <f t="shared" si="19"/>
        <v>0</v>
      </c>
      <c r="K59" s="86">
        <f t="shared" si="19"/>
        <v>0</v>
      </c>
      <c r="L59" s="86">
        <f t="shared" si="19"/>
        <v>0</v>
      </c>
      <c r="M59" s="86">
        <f t="shared" si="19"/>
        <v>0</v>
      </c>
      <c r="N59" s="86">
        <f t="shared" si="19"/>
        <v>0</v>
      </c>
      <c r="O59" s="86">
        <f t="shared" si="18"/>
        <v>0</v>
      </c>
      <c r="P59" s="86">
        <f t="shared" si="18"/>
        <v>0</v>
      </c>
      <c r="Q59" s="86">
        <f t="shared" si="18"/>
        <v>0</v>
      </c>
      <c r="R59" s="86">
        <f t="shared" si="18"/>
        <v>0</v>
      </c>
      <c r="S59" s="87">
        <f t="shared" si="18"/>
        <v>0</v>
      </c>
      <c r="T59" s="1"/>
      <c r="U59" s="1"/>
      <c r="V59" s="1"/>
    </row>
    <row r="60" spans="2:22" ht="16.5" thickBot="1">
      <c r="B60" s="137" t="s">
        <v>124</v>
      </c>
      <c r="C60" s="306"/>
      <c r="D60" s="86">
        <f>Financing!J29</f>
        <v>24955</v>
      </c>
      <c r="E60" s="86">
        <f>Financing!J29</f>
        <v>24955</v>
      </c>
      <c r="F60" s="86">
        <f>Financing!K29</f>
        <v>24955</v>
      </c>
      <c r="G60" s="86">
        <f>Financing!L29</f>
        <v>24955</v>
      </c>
      <c r="H60" s="86">
        <f>Financing!M29</f>
        <v>24955</v>
      </c>
      <c r="I60" s="86">
        <f>Financing!N29</f>
        <v>24955</v>
      </c>
      <c r="J60" s="86">
        <f>Financing!O29</f>
        <v>24955</v>
      </c>
      <c r="K60" s="86">
        <f>Financing!P29</f>
        <v>24955</v>
      </c>
      <c r="L60" s="86">
        <v>0</v>
      </c>
      <c r="M60" s="86">
        <v>0</v>
      </c>
      <c r="N60" s="86">
        <v>0</v>
      </c>
      <c r="O60" s="86">
        <v>0</v>
      </c>
      <c r="P60" s="86">
        <v>0</v>
      </c>
      <c r="Q60" s="86">
        <v>0</v>
      </c>
      <c r="R60" s="86">
        <f aca="true" t="shared" si="20" ref="P60:S66">Q60</f>
        <v>0</v>
      </c>
      <c r="S60" s="87">
        <f t="shared" si="20"/>
        <v>0</v>
      </c>
      <c r="T60" s="1"/>
      <c r="U60" s="1"/>
      <c r="V60" s="1"/>
    </row>
    <row r="61" spans="2:22" ht="16.5" thickBot="1">
      <c r="B61" s="137" t="s">
        <v>53</v>
      </c>
      <c r="C61" s="306"/>
      <c r="D61" s="86"/>
      <c r="E61" s="86">
        <f>Financing!J27</f>
        <v>17468.5</v>
      </c>
      <c r="F61" s="86">
        <f>Financing!K27</f>
        <v>15449.958582873092</v>
      </c>
      <c r="G61" s="86">
        <f>Financing!L27</f>
        <v>13290.119266547303</v>
      </c>
      <c r="H61" s="86">
        <f>Financing!M27</f>
        <v>10979.09119807871</v>
      </c>
      <c r="I61" s="86">
        <f>Financing!N27</f>
        <v>8506.291164817312</v>
      </c>
      <c r="J61" s="86">
        <f>Financing!O27</f>
        <v>5860.395129227617</v>
      </c>
      <c r="K61" s="86">
        <f>Financing!P27</f>
        <v>3029.2863711466443</v>
      </c>
      <c r="L61" s="86">
        <v>0</v>
      </c>
      <c r="M61" s="86">
        <v>0</v>
      </c>
      <c r="N61" s="86">
        <v>0</v>
      </c>
      <c r="O61" s="86">
        <v>0</v>
      </c>
      <c r="P61" s="86">
        <v>0</v>
      </c>
      <c r="Q61" s="86">
        <f t="shared" si="20"/>
        <v>0</v>
      </c>
      <c r="R61" s="86">
        <f t="shared" si="20"/>
        <v>0</v>
      </c>
      <c r="S61" s="87">
        <f t="shared" si="20"/>
        <v>0</v>
      </c>
      <c r="T61" s="1"/>
      <c r="U61" s="1"/>
      <c r="V61" s="1"/>
    </row>
    <row r="62" spans="2:22" ht="16.5" thickBot="1">
      <c r="B62" s="137" t="s">
        <v>52</v>
      </c>
      <c r="C62" s="306"/>
      <c r="D62" s="86"/>
      <c r="E62" s="86">
        <f>Financing!J36</f>
        <v>16387.73210080112</v>
      </c>
      <c r="F62" s="86">
        <f>Financing!K36</f>
        <v>14494.076894100648</v>
      </c>
      <c r="G62" s="86">
        <f>Financing!L36</f>
        <v>12467.865822931144</v>
      </c>
      <c r="H62" s="86">
        <f>Financing!M36</f>
        <v>10299.819976779774</v>
      </c>
      <c r="I62" s="86">
        <f>Financing!N36</f>
        <v>7980.010921397809</v>
      </c>
      <c r="J62" s="86">
        <f>Financing!O36</f>
        <v>5497.815232139105</v>
      </c>
      <c r="K62" s="86">
        <f>Financing!P36</f>
        <v>2841.865844632293</v>
      </c>
      <c r="L62" s="86">
        <v>0</v>
      </c>
      <c r="M62" s="86">
        <v>0</v>
      </c>
      <c r="N62" s="86">
        <v>0</v>
      </c>
      <c r="O62" s="86">
        <v>0</v>
      </c>
      <c r="P62" s="86">
        <v>0</v>
      </c>
      <c r="Q62" s="86">
        <v>0</v>
      </c>
      <c r="R62" s="86">
        <v>0</v>
      </c>
      <c r="S62" s="87">
        <v>0</v>
      </c>
      <c r="T62" s="1"/>
      <c r="U62" s="1"/>
      <c r="V62" s="1"/>
    </row>
    <row r="63" spans="2:22" ht="16.5" thickBot="1">
      <c r="B63" s="137" t="s">
        <v>35</v>
      </c>
      <c r="C63" s="306"/>
      <c r="D63" s="85">
        <v>0</v>
      </c>
      <c r="E63" s="86">
        <f t="shared" si="16"/>
        <v>0</v>
      </c>
      <c r="F63" s="86">
        <f aca="true" t="shared" si="21" ref="F63:N66">E63</f>
        <v>0</v>
      </c>
      <c r="G63" s="86">
        <f t="shared" si="21"/>
        <v>0</v>
      </c>
      <c r="H63" s="86">
        <f t="shared" si="21"/>
        <v>0</v>
      </c>
      <c r="I63" s="86">
        <f t="shared" si="21"/>
        <v>0</v>
      </c>
      <c r="J63" s="86">
        <f t="shared" si="21"/>
        <v>0</v>
      </c>
      <c r="K63" s="86">
        <f t="shared" si="21"/>
        <v>0</v>
      </c>
      <c r="L63" s="86">
        <f t="shared" si="21"/>
        <v>0</v>
      </c>
      <c r="M63" s="86">
        <f t="shared" si="21"/>
        <v>0</v>
      </c>
      <c r="N63" s="86">
        <f t="shared" si="21"/>
        <v>0</v>
      </c>
      <c r="O63" s="86">
        <f>N63</f>
        <v>0</v>
      </c>
      <c r="P63" s="86">
        <f t="shared" si="20"/>
        <v>0</v>
      </c>
      <c r="Q63" s="86">
        <f t="shared" si="20"/>
        <v>0</v>
      </c>
      <c r="R63" s="86">
        <f t="shared" si="20"/>
        <v>0</v>
      </c>
      <c r="S63" s="87">
        <f t="shared" si="20"/>
        <v>0</v>
      </c>
      <c r="T63" s="1"/>
      <c r="U63" s="1"/>
      <c r="V63" s="1"/>
    </row>
    <row r="64" spans="2:22" ht="16.5" thickBot="1">
      <c r="B64" s="137" t="s">
        <v>97</v>
      </c>
      <c r="C64" s="306"/>
      <c r="D64" s="86">
        <f>SUM(D65:D68)*0.09</f>
        <v>1296</v>
      </c>
      <c r="E64" s="86">
        <f t="shared" si="16"/>
        <v>1296</v>
      </c>
      <c r="F64" s="86">
        <f t="shared" si="21"/>
        <v>1296</v>
      </c>
      <c r="G64" s="86">
        <f t="shared" si="21"/>
        <v>1296</v>
      </c>
      <c r="H64" s="86">
        <f t="shared" si="21"/>
        <v>1296</v>
      </c>
      <c r="I64" s="86">
        <f t="shared" si="21"/>
        <v>1296</v>
      </c>
      <c r="J64" s="86">
        <f t="shared" si="21"/>
        <v>1296</v>
      </c>
      <c r="K64" s="86">
        <f t="shared" si="21"/>
        <v>1296</v>
      </c>
      <c r="L64" s="86">
        <f t="shared" si="21"/>
        <v>1296</v>
      </c>
      <c r="M64" s="86">
        <f t="shared" si="21"/>
        <v>1296</v>
      </c>
      <c r="N64" s="86">
        <f t="shared" si="21"/>
        <v>1296</v>
      </c>
      <c r="O64" s="86">
        <f>N64</f>
        <v>1296</v>
      </c>
      <c r="P64" s="86">
        <f t="shared" si="20"/>
        <v>1296</v>
      </c>
      <c r="Q64" s="86">
        <f t="shared" si="20"/>
        <v>1296</v>
      </c>
      <c r="R64" s="86">
        <f t="shared" si="20"/>
        <v>1296</v>
      </c>
      <c r="S64" s="87">
        <f t="shared" si="20"/>
        <v>1296</v>
      </c>
      <c r="T64" s="1"/>
      <c r="U64" s="1"/>
      <c r="V64" s="1"/>
    </row>
    <row r="65" spans="2:22" ht="16.5" thickBot="1">
      <c r="B65" s="139" t="s">
        <v>208</v>
      </c>
      <c r="C65" s="308"/>
      <c r="D65" s="179">
        <v>2400</v>
      </c>
      <c r="E65" s="54">
        <f>D65</f>
        <v>2400</v>
      </c>
      <c r="F65" s="54">
        <f t="shared" si="21"/>
        <v>2400</v>
      </c>
      <c r="G65" s="54">
        <f t="shared" si="21"/>
        <v>2400</v>
      </c>
      <c r="H65" s="54">
        <f t="shared" si="21"/>
        <v>2400</v>
      </c>
      <c r="I65" s="54">
        <f t="shared" si="21"/>
        <v>2400</v>
      </c>
      <c r="J65" s="54">
        <f t="shared" si="21"/>
        <v>2400</v>
      </c>
      <c r="K65" s="54">
        <f t="shared" si="21"/>
        <v>2400</v>
      </c>
      <c r="L65" s="54">
        <f t="shared" si="21"/>
        <v>2400</v>
      </c>
      <c r="M65" s="54">
        <f t="shared" si="21"/>
        <v>2400</v>
      </c>
      <c r="N65" s="54">
        <f t="shared" si="21"/>
        <v>2400</v>
      </c>
      <c r="O65" s="54">
        <f>N65</f>
        <v>2400</v>
      </c>
      <c r="P65" s="54">
        <f t="shared" si="20"/>
        <v>2400</v>
      </c>
      <c r="Q65" s="54">
        <f t="shared" si="20"/>
        <v>2400</v>
      </c>
      <c r="R65" s="54">
        <f t="shared" si="20"/>
        <v>2400</v>
      </c>
      <c r="S65" s="55">
        <f t="shared" si="20"/>
        <v>2400</v>
      </c>
      <c r="T65" s="1"/>
      <c r="U65" s="1"/>
      <c r="V65" s="1"/>
    </row>
    <row r="66" spans="2:22" ht="16.5" thickBot="1">
      <c r="B66" s="137" t="s">
        <v>210</v>
      </c>
      <c r="C66" s="345" t="s">
        <v>263</v>
      </c>
      <c r="D66" s="80">
        <v>10000</v>
      </c>
      <c r="E66" s="81">
        <f>D66</f>
        <v>10000</v>
      </c>
      <c r="F66" s="81">
        <f t="shared" si="21"/>
        <v>10000</v>
      </c>
      <c r="G66" s="81">
        <f t="shared" si="21"/>
        <v>10000</v>
      </c>
      <c r="H66" s="81">
        <f t="shared" si="21"/>
        <v>10000</v>
      </c>
      <c r="I66" s="81">
        <f t="shared" si="21"/>
        <v>10000</v>
      </c>
      <c r="J66" s="81">
        <f t="shared" si="21"/>
        <v>10000</v>
      </c>
      <c r="K66" s="81">
        <f t="shared" si="21"/>
        <v>10000</v>
      </c>
      <c r="L66" s="81">
        <f t="shared" si="21"/>
        <v>10000</v>
      </c>
      <c r="M66" s="81">
        <f t="shared" si="21"/>
        <v>10000</v>
      </c>
      <c r="N66" s="81">
        <f t="shared" si="21"/>
        <v>10000</v>
      </c>
      <c r="O66" s="81">
        <f>N66</f>
        <v>10000</v>
      </c>
      <c r="P66" s="81">
        <f t="shared" si="20"/>
        <v>10000</v>
      </c>
      <c r="Q66" s="81">
        <f t="shared" si="20"/>
        <v>10000</v>
      </c>
      <c r="R66" s="81">
        <f t="shared" si="20"/>
        <v>10000</v>
      </c>
      <c r="S66" s="81">
        <f t="shared" si="20"/>
        <v>10000</v>
      </c>
      <c r="T66" s="1"/>
      <c r="U66" s="1"/>
      <c r="V66" s="1"/>
    </row>
    <row r="67" spans="2:22" ht="16.5" thickBot="1">
      <c r="B67" s="137" t="s">
        <v>264</v>
      </c>
      <c r="C67" s="346"/>
      <c r="D67" s="80">
        <v>2000</v>
      </c>
      <c r="E67" s="81">
        <f>D67</f>
        <v>2000</v>
      </c>
      <c r="F67" s="81">
        <f aca="true" t="shared" si="22" ref="F67:S67">E67</f>
        <v>2000</v>
      </c>
      <c r="G67" s="81">
        <f t="shared" si="22"/>
        <v>2000</v>
      </c>
      <c r="H67" s="81">
        <f t="shared" si="22"/>
        <v>2000</v>
      </c>
      <c r="I67" s="81">
        <f t="shared" si="22"/>
        <v>2000</v>
      </c>
      <c r="J67" s="81">
        <f t="shared" si="22"/>
        <v>2000</v>
      </c>
      <c r="K67" s="81">
        <f t="shared" si="22"/>
        <v>2000</v>
      </c>
      <c r="L67" s="81">
        <f t="shared" si="22"/>
        <v>2000</v>
      </c>
      <c r="M67" s="81">
        <f t="shared" si="22"/>
        <v>2000</v>
      </c>
      <c r="N67" s="81">
        <f t="shared" si="22"/>
        <v>2000</v>
      </c>
      <c r="O67" s="81">
        <f t="shared" si="22"/>
        <v>2000</v>
      </c>
      <c r="P67" s="81">
        <f t="shared" si="22"/>
        <v>2000</v>
      </c>
      <c r="Q67" s="81">
        <f t="shared" si="22"/>
        <v>2000</v>
      </c>
      <c r="R67" s="81">
        <f t="shared" si="22"/>
        <v>2000</v>
      </c>
      <c r="S67" s="81">
        <f t="shared" si="22"/>
        <v>2000</v>
      </c>
      <c r="T67" s="1"/>
      <c r="U67" s="1"/>
      <c r="V67" s="1"/>
    </row>
    <row r="68" spans="2:22" ht="16.5" thickBot="1">
      <c r="B68" s="137" t="s">
        <v>209</v>
      </c>
      <c r="C68" s="347"/>
      <c r="D68" s="180">
        <v>0</v>
      </c>
      <c r="E68" s="86">
        <f>D68</f>
        <v>0</v>
      </c>
      <c r="F68" s="86">
        <f aca="true" t="shared" si="23" ref="F68:R68">E68</f>
        <v>0</v>
      </c>
      <c r="G68" s="86">
        <f t="shared" si="23"/>
        <v>0</v>
      </c>
      <c r="H68" s="86">
        <f t="shared" si="23"/>
        <v>0</v>
      </c>
      <c r="I68" s="86">
        <f t="shared" si="23"/>
        <v>0</v>
      </c>
      <c r="J68" s="86">
        <f t="shared" si="23"/>
        <v>0</v>
      </c>
      <c r="K68" s="86">
        <f t="shared" si="23"/>
        <v>0</v>
      </c>
      <c r="L68" s="86">
        <f t="shared" si="23"/>
        <v>0</v>
      </c>
      <c r="M68" s="86">
        <f t="shared" si="23"/>
        <v>0</v>
      </c>
      <c r="N68" s="86">
        <f t="shared" si="23"/>
        <v>0</v>
      </c>
      <c r="O68" s="86">
        <f t="shared" si="23"/>
        <v>0</v>
      </c>
      <c r="P68" s="86">
        <f t="shared" si="23"/>
        <v>0</v>
      </c>
      <c r="Q68" s="86">
        <f t="shared" si="23"/>
        <v>0</v>
      </c>
      <c r="R68" s="86">
        <f t="shared" si="23"/>
        <v>0</v>
      </c>
      <c r="S68" s="87">
        <f>R68</f>
        <v>0</v>
      </c>
      <c r="T68" s="1"/>
      <c r="U68" s="1"/>
      <c r="V68" s="1"/>
    </row>
    <row r="69" spans="2:22" ht="16.5" thickBot="1">
      <c r="B69" s="146" t="s">
        <v>314</v>
      </c>
      <c r="C69" s="276"/>
      <c r="D69" s="107">
        <f>SUM(D53:D65)</f>
        <v>35391</v>
      </c>
      <c r="E69" s="107">
        <f aca="true" t="shared" si="24" ref="E69:S69">SUM(E53:E61)+SUM(E63:E68)</f>
        <v>68299.5</v>
      </c>
      <c r="F69" s="107">
        <f t="shared" si="24"/>
        <v>66280.95858287309</v>
      </c>
      <c r="G69" s="107">
        <f t="shared" si="24"/>
        <v>64121.119266547306</v>
      </c>
      <c r="H69" s="107">
        <f t="shared" si="24"/>
        <v>61810.091198078706</v>
      </c>
      <c r="I69" s="107">
        <f t="shared" si="24"/>
        <v>59337.29116481731</v>
      </c>
      <c r="J69" s="107">
        <f t="shared" si="24"/>
        <v>56691.39512922762</v>
      </c>
      <c r="K69" s="107">
        <f t="shared" si="24"/>
        <v>53860.28637114664</v>
      </c>
      <c r="L69" s="107">
        <f t="shared" si="24"/>
        <v>25876</v>
      </c>
      <c r="M69" s="107">
        <f t="shared" si="24"/>
        <v>25876</v>
      </c>
      <c r="N69" s="107">
        <f t="shared" si="24"/>
        <v>25876</v>
      </c>
      <c r="O69" s="107">
        <f t="shared" si="24"/>
        <v>25876</v>
      </c>
      <c r="P69" s="107">
        <f t="shared" si="24"/>
        <v>25876</v>
      </c>
      <c r="Q69" s="107">
        <f t="shared" si="24"/>
        <v>25876</v>
      </c>
      <c r="R69" s="107">
        <f t="shared" si="24"/>
        <v>25876</v>
      </c>
      <c r="S69" s="277">
        <f t="shared" si="24"/>
        <v>25876</v>
      </c>
      <c r="T69" s="1"/>
      <c r="U69" s="1"/>
      <c r="V69" s="1"/>
    </row>
    <row r="70" spans="2:22" ht="16.5" thickBot="1">
      <c r="B70" s="105"/>
      <c r="C70" s="105"/>
      <c r="D70" s="106"/>
      <c r="E70" s="106"/>
      <c r="F70" s="106"/>
      <c r="G70" s="106"/>
      <c r="H70" s="106"/>
      <c r="I70" s="106"/>
      <c r="J70" s="106"/>
      <c r="K70" s="106"/>
      <c r="L70" s="106"/>
      <c r="M70" s="106"/>
      <c r="N70" s="106"/>
      <c r="O70" s="66"/>
      <c r="P70" s="66"/>
      <c r="Q70" s="66"/>
      <c r="R70" s="66"/>
      <c r="S70" s="66"/>
      <c r="T70" s="1"/>
      <c r="U70" s="1"/>
      <c r="V70" s="1"/>
    </row>
    <row r="71" spans="2:22" ht="16.5" thickBot="1">
      <c r="B71" s="184" t="s">
        <v>318</v>
      </c>
      <c r="C71" s="254"/>
      <c r="D71" s="185"/>
      <c r="E71" s="185"/>
      <c r="F71" s="185"/>
      <c r="G71" s="185"/>
      <c r="H71" s="185"/>
      <c r="I71" s="185"/>
      <c r="J71" s="185"/>
      <c r="K71" s="185"/>
      <c r="L71" s="185"/>
      <c r="M71" s="185"/>
      <c r="N71" s="185"/>
      <c r="O71" s="185"/>
      <c r="P71" s="185"/>
      <c r="Q71" s="185"/>
      <c r="R71" s="185"/>
      <c r="S71" s="186"/>
      <c r="T71" s="1"/>
      <c r="U71" s="1"/>
      <c r="V71" s="1"/>
    </row>
    <row r="72" spans="2:22" ht="16.5" thickBot="1">
      <c r="B72" s="147" t="s">
        <v>34</v>
      </c>
      <c r="C72" s="255"/>
      <c r="D72" s="88"/>
      <c r="E72" s="89">
        <f>E28</f>
        <v>0</v>
      </c>
      <c r="F72" s="89">
        <f aca="true" t="shared" si="25" ref="F72:S72">F28</f>
        <v>90000</v>
      </c>
      <c r="G72" s="89">
        <f t="shared" si="25"/>
        <v>202500</v>
      </c>
      <c r="H72" s="89">
        <f t="shared" si="25"/>
        <v>225000</v>
      </c>
      <c r="I72" s="89">
        <f t="shared" si="25"/>
        <v>225000</v>
      </c>
      <c r="J72" s="89">
        <f t="shared" si="25"/>
        <v>225000</v>
      </c>
      <c r="K72" s="89">
        <f t="shared" si="25"/>
        <v>225000</v>
      </c>
      <c r="L72" s="89">
        <f t="shared" si="25"/>
        <v>225000</v>
      </c>
      <c r="M72" s="89">
        <f t="shared" si="25"/>
        <v>225000</v>
      </c>
      <c r="N72" s="89">
        <f t="shared" si="25"/>
        <v>225000</v>
      </c>
      <c r="O72" s="89">
        <f t="shared" si="25"/>
        <v>225000</v>
      </c>
      <c r="P72" s="89">
        <f t="shared" si="25"/>
        <v>225000</v>
      </c>
      <c r="Q72" s="89">
        <f t="shared" si="25"/>
        <v>225000</v>
      </c>
      <c r="R72" s="89">
        <f t="shared" si="25"/>
        <v>225000</v>
      </c>
      <c r="S72" s="90">
        <f t="shared" si="25"/>
        <v>225000</v>
      </c>
      <c r="T72" s="1"/>
      <c r="U72" s="1"/>
      <c r="V72" s="1"/>
    </row>
    <row r="73" spans="2:22" ht="16.5" thickBot="1">
      <c r="B73" s="148" t="s">
        <v>33</v>
      </c>
      <c r="C73" s="256"/>
      <c r="D73" s="91"/>
      <c r="E73" s="92">
        <f>E69+E50</f>
        <v>160799.5</v>
      </c>
      <c r="F73" s="92">
        <f aca="true" t="shared" si="26" ref="F73:S73">F50+F69</f>
        <v>163310.9585828731</v>
      </c>
      <c r="G73" s="92">
        <f t="shared" si="26"/>
        <v>164653.61926654732</v>
      </c>
      <c r="H73" s="92">
        <f t="shared" si="26"/>
        <v>165635.0911980787</v>
      </c>
      <c r="I73" s="92">
        <f t="shared" si="26"/>
        <v>163162.29116481732</v>
      </c>
      <c r="J73" s="92">
        <f t="shared" si="26"/>
        <v>160516.3951292276</v>
      </c>
      <c r="K73" s="92">
        <f t="shared" si="26"/>
        <v>157685.28637114665</v>
      </c>
      <c r="L73" s="92">
        <f t="shared" si="26"/>
        <v>129701</v>
      </c>
      <c r="M73" s="92">
        <f t="shared" si="26"/>
        <v>129701</v>
      </c>
      <c r="N73" s="92">
        <f t="shared" si="26"/>
        <v>129701</v>
      </c>
      <c r="O73" s="92">
        <f t="shared" si="26"/>
        <v>129701</v>
      </c>
      <c r="P73" s="92">
        <f t="shared" si="26"/>
        <v>129701</v>
      </c>
      <c r="Q73" s="92">
        <f t="shared" si="26"/>
        <v>129701</v>
      </c>
      <c r="R73" s="92">
        <f t="shared" si="26"/>
        <v>129701</v>
      </c>
      <c r="S73" s="92">
        <f t="shared" si="26"/>
        <v>129701</v>
      </c>
      <c r="T73" s="1"/>
      <c r="U73" s="1"/>
      <c r="V73" s="1"/>
    </row>
    <row r="74" spans="2:22" ht="16.5" thickBot="1">
      <c r="B74" s="137" t="s">
        <v>214</v>
      </c>
      <c r="C74" s="250"/>
      <c r="D74" s="49"/>
      <c r="E74" s="53">
        <f aca="true" t="shared" si="27" ref="E74:S74">E73-E72</f>
        <v>160799.5</v>
      </c>
      <c r="F74" s="53">
        <f t="shared" si="27"/>
        <v>73310.9585828731</v>
      </c>
      <c r="G74" s="53">
        <f t="shared" si="27"/>
        <v>-37846.38073345268</v>
      </c>
      <c r="H74" s="53">
        <f t="shared" si="27"/>
        <v>-59364.908801921294</v>
      </c>
      <c r="I74" s="53">
        <f t="shared" si="27"/>
        <v>-61837.70883518268</v>
      </c>
      <c r="J74" s="53">
        <f t="shared" si="27"/>
        <v>-64483.6048707724</v>
      </c>
      <c r="K74" s="53">
        <f t="shared" si="27"/>
        <v>-67314.71362885335</v>
      </c>
      <c r="L74" s="53">
        <f t="shared" si="27"/>
        <v>-95299</v>
      </c>
      <c r="M74" s="53">
        <f t="shared" si="27"/>
        <v>-95299</v>
      </c>
      <c r="N74" s="53">
        <f t="shared" si="27"/>
        <v>-95299</v>
      </c>
      <c r="O74" s="53">
        <f t="shared" si="27"/>
        <v>-95299</v>
      </c>
      <c r="P74" s="53">
        <f t="shared" si="27"/>
        <v>-95299</v>
      </c>
      <c r="Q74" s="53">
        <f t="shared" si="27"/>
        <v>-95299</v>
      </c>
      <c r="R74" s="53">
        <f t="shared" si="27"/>
        <v>-95299</v>
      </c>
      <c r="S74" s="53">
        <f t="shared" si="27"/>
        <v>-95299</v>
      </c>
      <c r="T74" s="1"/>
      <c r="U74" s="1"/>
      <c r="V74" s="1"/>
    </row>
    <row r="75" spans="2:22" ht="16.5" thickBot="1">
      <c r="B75" s="139" t="s">
        <v>260</v>
      </c>
      <c r="C75" s="256"/>
      <c r="D75" s="283"/>
      <c r="E75" s="92">
        <f>E72-E73</f>
        <v>-160799.5</v>
      </c>
      <c r="F75" s="92">
        <f aca="true" t="shared" si="28" ref="F75:S75">F72-F73</f>
        <v>-73310.9585828731</v>
      </c>
      <c r="G75" s="92">
        <f t="shared" si="28"/>
        <v>37846.38073345268</v>
      </c>
      <c r="H75" s="92">
        <f t="shared" si="28"/>
        <v>59364.908801921294</v>
      </c>
      <c r="I75" s="92">
        <f t="shared" si="28"/>
        <v>61837.70883518268</v>
      </c>
      <c r="J75" s="92">
        <f t="shared" si="28"/>
        <v>64483.6048707724</v>
      </c>
      <c r="K75" s="92">
        <f t="shared" si="28"/>
        <v>67314.71362885335</v>
      </c>
      <c r="L75" s="92">
        <f t="shared" si="28"/>
        <v>95299</v>
      </c>
      <c r="M75" s="92">
        <f t="shared" si="28"/>
        <v>95299</v>
      </c>
      <c r="N75" s="92">
        <f t="shared" si="28"/>
        <v>95299</v>
      </c>
      <c r="O75" s="92">
        <f t="shared" si="28"/>
        <v>95299</v>
      </c>
      <c r="P75" s="92">
        <f t="shared" si="28"/>
        <v>95299</v>
      </c>
      <c r="Q75" s="92">
        <f t="shared" si="28"/>
        <v>95299</v>
      </c>
      <c r="R75" s="92">
        <f t="shared" si="28"/>
        <v>95299</v>
      </c>
      <c r="S75" s="92">
        <f t="shared" si="28"/>
        <v>95299</v>
      </c>
      <c r="T75" s="1"/>
      <c r="U75" s="1"/>
      <c r="V75" s="1"/>
    </row>
    <row r="76" spans="2:22" ht="16.5" thickBot="1">
      <c r="B76" s="286" t="s">
        <v>261</v>
      </c>
      <c r="C76" s="259"/>
      <c r="D76" s="94"/>
      <c r="E76" s="95">
        <f aca="true" t="shared" si="29" ref="E76:S76">IF(E75&lt;0,E75,0)</f>
        <v>-160799.5</v>
      </c>
      <c r="F76" s="95">
        <f t="shared" si="29"/>
        <v>-73310.9585828731</v>
      </c>
      <c r="G76" s="95">
        <f t="shared" si="29"/>
        <v>0</v>
      </c>
      <c r="H76" s="95">
        <f t="shared" si="29"/>
        <v>0</v>
      </c>
      <c r="I76" s="95">
        <f t="shared" si="29"/>
        <v>0</v>
      </c>
      <c r="J76" s="95">
        <f t="shared" si="29"/>
        <v>0</v>
      </c>
      <c r="K76" s="95">
        <f t="shared" si="29"/>
        <v>0</v>
      </c>
      <c r="L76" s="95">
        <f t="shared" si="29"/>
        <v>0</v>
      </c>
      <c r="M76" s="95">
        <f t="shared" si="29"/>
        <v>0</v>
      </c>
      <c r="N76" s="95">
        <f t="shared" si="29"/>
        <v>0</v>
      </c>
      <c r="O76" s="95">
        <f t="shared" si="29"/>
        <v>0</v>
      </c>
      <c r="P76" s="95">
        <f t="shared" si="29"/>
        <v>0</v>
      </c>
      <c r="Q76" s="95">
        <f t="shared" si="29"/>
        <v>0</v>
      </c>
      <c r="R76" s="95">
        <f t="shared" si="29"/>
        <v>0</v>
      </c>
      <c r="S76" s="95">
        <f t="shared" si="29"/>
        <v>0</v>
      </c>
      <c r="T76" s="1"/>
      <c r="U76" s="1"/>
      <c r="V76" s="1"/>
    </row>
    <row r="77" spans="2:22" ht="16.5" thickBot="1">
      <c r="B77" s="145" t="s">
        <v>319</v>
      </c>
      <c r="C77" s="257"/>
      <c r="D77" s="284"/>
      <c r="E77" s="285">
        <f aca="true" t="shared" si="30" ref="E77:S77">E72-(E73+E62)</f>
        <v>-177187.23210080113</v>
      </c>
      <c r="F77" s="285">
        <f t="shared" si="30"/>
        <v>-87805.03547697375</v>
      </c>
      <c r="G77" s="285">
        <f t="shared" si="30"/>
        <v>25378.51491052154</v>
      </c>
      <c r="H77" s="285">
        <f t="shared" si="30"/>
        <v>49065.088825141516</v>
      </c>
      <c r="I77" s="285">
        <f t="shared" si="30"/>
        <v>53857.69791378488</v>
      </c>
      <c r="J77" s="285">
        <f t="shared" si="30"/>
        <v>58985.78963863329</v>
      </c>
      <c r="K77" s="285">
        <f t="shared" si="30"/>
        <v>64472.847784221056</v>
      </c>
      <c r="L77" s="285">
        <f t="shared" si="30"/>
        <v>95299</v>
      </c>
      <c r="M77" s="285">
        <f t="shared" si="30"/>
        <v>95299</v>
      </c>
      <c r="N77" s="285">
        <f t="shared" si="30"/>
        <v>95299</v>
      </c>
      <c r="O77" s="285">
        <f t="shared" si="30"/>
        <v>95299</v>
      </c>
      <c r="P77" s="285">
        <f t="shared" si="30"/>
        <v>95299</v>
      </c>
      <c r="Q77" s="285">
        <f t="shared" si="30"/>
        <v>95299</v>
      </c>
      <c r="R77" s="285">
        <f t="shared" si="30"/>
        <v>95299</v>
      </c>
      <c r="S77" s="285">
        <f t="shared" si="30"/>
        <v>95299</v>
      </c>
      <c r="T77" s="1"/>
      <c r="U77" s="1"/>
      <c r="V77" s="1"/>
    </row>
    <row r="78" spans="2:22" ht="16.5" thickBot="1">
      <c r="B78" s="171" t="s">
        <v>285</v>
      </c>
      <c r="C78" s="258"/>
      <c r="D78" s="172"/>
      <c r="E78" s="173">
        <f>E77</f>
        <v>-177187.23210080113</v>
      </c>
      <c r="F78" s="173">
        <f aca="true" t="shared" si="31" ref="F78:S78">E78+F77</f>
        <v>-264992.2675777749</v>
      </c>
      <c r="G78" s="173">
        <f t="shared" si="31"/>
        <v>-239613.75266725334</v>
      </c>
      <c r="H78" s="173">
        <f t="shared" si="31"/>
        <v>-190548.66384211183</v>
      </c>
      <c r="I78" s="173">
        <f t="shared" si="31"/>
        <v>-136690.96592832694</v>
      </c>
      <c r="J78" s="173">
        <f t="shared" si="31"/>
        <v>-77705.17628969366</v>
      </c>
      <c r="K78" s="173">
        <f t="shared" si="31"/>
        <v>-13232.3285054726</v>
      </c>
      <c r="L78" s="173">
        <f t="shared" si="31"/>
        <v>82066.6714945274</v>
      </c>
      <c r="M78" s="173">
        <f t="shared" si="31"/>
        <v>177365.6714945274</v>
      </c>
      <c r="N78" s="173">
        <f t="shared" si="31"/>
        <v>272664.67149452737</v>
      </c>
      <c r="O78" s="173">
        <f t="shared" si="31"/>
        <v>367963.67149452737</v>
      </c>
      <c r="P78" s="173">
        <f t="shared" si="31"/>
        <v>463262.67149452737</v>
      </c>
      <c r="Q78" s="173">
        <f t="shared" si="31"/>
        <v>558561.6714945274</v>
      </c>
      <c r="R78" s="173">
        <f t="shared" si="31"/>
        <v>653860.6714945274</v>
      </c>
      <c r="S78" s="173">
        <f t="shared" si="31"/>
        <v>749159.6714945274</v>
      </c>
      <c r="T78" s="1"/>
      <c r="U78" s="1"/>
      <c r="V78" s="1"/>
    </row>
    <row r="79" spans="20:22" ht="16.5" thickBot="1">
      <c r="T79" s="1"/>
      <c r="U79" s="1"/>
      <c r="V79" s="1"/>
    </row>
    <row r="80" spans="20:22" ht="16.5" thickBot="1">
      <c r="T80" s="1"/>
      <c r="U80" s="1"/>
      <c r="V80" s="1"/>
    </row>
    <row r="81" spans="2:22" ht="16.5" thickBot="1">
      <c r="B81" s="333" t="s">
        <v>316</v>
      </c>
      <c r="C81" s="334"/>
      <c r="D81" s="335"/>
      <c r="E81" s="65"/>
      <c r="F81" s="348" t="s">
        <v>317</v>
      </c>
      <c r="G81" s="349"/>
      <c r="H81" s="349"/>
      <c r="I81" s="349"/>
      <c r="J81" s="349"/>
      <c r="K81" s="349"/>
      <c r="L81" s="349"/>
      <c r="M81" s="349"/>
      <c r="N81" s="349"/>
      <c r="O81" s="349"/>
      <c r="P81" s="349"/>
      <c r="Q81" s="349"/>
      <c r="R81" s="350"/>
      <c r="S81" s="1"/>
      <c r="T81" s="1"/>
      <c r="U81" s="1"/>
      <c r="V81" s="1"/>
    </row>
    <row r="82" spans="2:22" ht="16.5" customHeight="1" thickBot="1">
      <c r="B82" s="70"/>
      <c r="C82" s="260"/>
      <c r="D82" s="71"/>
      <c r="E82" s="96"/>
      <c r="F82" s="351"/>
      <c r="G82" s="352"/>
      <c r="H82" s="353"/>
      <c r="I82" s="41"/>
      <c r="J82" s="41"/>
      <c r="K82" s="41"/>
      <c r="L82" s="53"/>
      <c r="M82" s="53"/>
      <c r="N82" s="53"/>
      <c r="O82" s="49"/>
      <c r="P82" s="49"/>
      <c r="Q82" s="49"/>
      <c r="R82" s="71"/>
      <c r="S82" s="1"/>
      <c r="T82" s="1"/>
      <c r="U82" s="1"/>
      <c r="V82" s="1"/>
    </row>
    <row r="83" spans="2:22" ht="16.5" thickBot="1">
      <c r="B83" s="52" t="s">
        <v>185</v>
      </c>
      <c r="C83" s="233"/>
      <c r="D83" s="71"/>
      <c r="E83" s="96"/>
      <c r="F83" s="354" t="s">
        <v>40</v>
      </c>
      <c r="G83" s="352"/>
      <c r="H83" s="353"/>
      <c r="I83" s="41"/>
      <c r="J83" s="41"/>
      <c r="K83" s="41"/>
      <c r="L83" s="53"/>
      <c r="M83" s="53"/>
      <c r="N83" s="53"/>
      <c r="O83" s="49"/>
      <c r="P83" s="49"/>
      <c r="Q83" s="49"/>
      <c r="R83" s="71"/>
      <c r="S83" s="1"/>
      <c r="T83" s="1"/>
      <c r="U83" s="1"/>
      <c r="V83" s="1"/>
    </row>
    <row r="84" spans="2:22" ht="16.5" thickBot="1">
      <c r="B84" s="102" t="s">
        <v>110</v>
      </c>
      <c r="C84" s="261"/>
      <c r="D84" s="103"/>
      <c r="E84" s="96"/>
      <c r="F84" s="354" t="s">
        <v>252</v>
      </c>
      <c r="G84" s="352"/>
      <c r="H84" s="353"/>
      <c r="I84" s="41"/>
      <c r="J84" s="41"/>
      <c r="K84" s="41"/>
      <c r="L84" s="53"/>
      <c r="M84" s="53"/>
      <c r="N84" s="53"/>
      <c r="O84" s="49"/>
      <c r="P84" s="49"/>
      <c r="Q84" s="49"/>
      <c r="R84" s="71"/>
      <c r="S84" s="1"/>
      <c r="T84" s="1"/>
      <c r="U84" s="1"/>
      <c r="V84" s="1"/>
    </row>
    <row r="85" spans="2:22" ht="16.5" thickBot="1">
      <c r="B85" s="70"/>
      <c r="C85" s="260"/>
      <c r="D85" s="71"/>
      <c r="E85" s="97"/>
      <c r="F85" s="351"/>
      <c r="G85" s="352"/>
      <c r="H85" s="353"/>
      <c r="I85" s="41" t="s">
        <v>233</v>
      </c>
      <c r="J85" s="41" t="s">
        <v>234</v>
      </c>
      <c r="K85" s="41" t="s">
        <v>235</v>
      </c>
      <c r="L85" s="41" t="s">
        <v>159</v>
      </c>
      <c r="M85" s="41" t="s">
        <v>6</v>
      </c>
      <c r="N85" s="41" t="s">
        <v>247</v>
      </c>
      <c r="O85" s="41" t="s">
        <v>236</v>
      </c>
      <c r="P85" s="41" t="s">
        <v>237</v>
      </c>
      <c r="Q85" s="41" t="s">
        <v>238</v>
      </c>
      <c r="R85" s="208" t="s">
        <v>290</v>
      </c>
      <c r="S85" s="1"/>
      <c r="T85" s="1"/>
      <c r="U85" s="1"/>
      <c r="V85" s="1"/>
    </row>
    <row r="86" spans="2:22" ht="16.5" thickBot="1">
      <c r="B86" s="52" t="s">
        <v>169</v>
      </c>
      <c r="C86" s="233"/>
      <c r="D86" s="55">
        <f>D50</f>
        <v>10270</v>
      </c>
      <c r="E86" s="96"/>
      <c r="F86" s="354" t="s">
        <v>180</v>
      </c>
      <c r="G86" s="352"/>
      <c r="H86" s="353"/>
      <c r="I86" s="98">
        <v>0</v>
      </c>
      <c r="J86" s="98">
        <f aca="true" t="shared" si="32" ref="J86:R86">F50/F26</f>
        <v>16.171666666666667</v>
      </c>
      <c r="K86" s="98">
        <f t="shared" si="32"/>
        <v>7.446851851851852</v>
      </c>
      <c r="L86" s="98">
        <f t="shared" si="32"/>
        <v>6.921666666666667</v>
      </c>
      <c r="M86" s="98">
        <f t="shared" si="32"/>
        <v>6.921666666666667</v>
      </c>
      <c r="N86" s="98">
        <f t="shared" si="32"/>
        <v>6.921666666666667</v>
      </c>
      <c r="O86" s="98">
        <f t="shared" si="32"/>
        <v>6.921666666666667</v>
      </c>
      <c r="P86" s="98">
        <f t="shared" si="32"/>
        <v>6.921666666666667</v>
      </c>
      <c r="Q86" s="98">
        <f t="shared" si="32"/>
        <v>6.921666666666667</v>
      </c>
      <c r="R86" s="282">
        <f t="shared" si="32"/>
        <v>6.921666666666667</v>
      </c>
      <c r="S86" s="1"/>
      <c r="T86" s="1"/>
      <c r="U86" s="1"/>
      <c r="V86" s="1"/>
    </row>
    <row r="87" spans="2:22" ht="16.5" thickBot="1">
      <c r="B87" s="52" t="s">
        <v>183</v>
      </c>
      <c r="C87" s="233"/>
      <c r="D87" s="87">
        <f>E14*E15</f>
        <v>22500</v>
      </c>
      <c r="E87" s="96"/>
      <c r="F87" s="354" t="s">
        <v>51</v>
      </c>
      <c r="G87" s="352"/>
      <c r="H87" s="353"/>
      <c r="I87" s="99">
        <f>E69</f>
        <v>68299.5</v>
      </c>
      <c r="J87" s="99">
        <f aca="true" t="shared" si="33" ref="J87:R87">F69</f>
        <v>66280.95858287309</v>
      </c>
      <c r="K87" s="99">
        <f t="shared" si="33"/>
        <v>64121.119266547306</v>
      </c>
      <c r="L87" s="99">
        <f t="shared" si="33"/>
        <v>61810.091198078706</v>
      </c>
      <c r="M87" s="99">
        <f t="shared" si="33"/>
        <v>59337.29116481731</v>
      </c>
      <c r="N87" s="99">
        <f t="shared" si="33"/>
        <v>56691.39512922762</v>
      </c>
      <c r="O87" s="99">
        <f t="shared" si="33"/>
        <v>53860.28637114664</v>
      </c>
      <c r="P87" s="99">
        <f t="shared" si="33"/>
        <v>25876</v>
      </c>
      <c r="Q87" s="99">
        <f t="shared" si="33"/>
        <v>25876</v>
      </c>
      <c r="R87" s="100">
        <f t="shared" si="33"/>
        <v>25876</v>
      </c>
      <c r="S87" s="1"/>
      <c r="T87" s="1"/>
      <c r="U87" s="1"/>
      <c r="V87" s="1"/>
    </row>
    <row r="88" spans="2:22" ht="16.5" thickBot="1">
      <c r="B88" s="52" t="s">
        <v>5</v>
      </c>
      <c r="C88" s="233"/>
      <c r="D88" s="87">
        <f>D69</f>
        <v>35391</v>
      </c>
      <c r="E88" s="96"/>
      <c r="F88" s="354" t="s">
        <v>123</v>
      </c>
      <c r="G88" s="352"/>
      <c r="H88" s="353"/>
      <c r="I88" s="41">
        <f>E26</f>
        <v>0</v>
      </c>
      <c r="J88" s="41">
        <f aca="true" t="shared" si="34" ref="J88:R88">F26</f>
        <v>6000</v>
      </c>
      <c r="K88" s="41">
        <f t="shared" si="34"/>
        <v>13500</v>
      </c>
      <c r="L88" s="41">
        <f t="shared" si="34"/>
        <v>15000</v>
      </c>
      <c r="M88" s="41">
        <f t="shared" si="34"/>
        <v>15000</v>
      </c>
      <c r="N88" s="41">
        <f t="shared" si="34"/>
        <v>15000</v>
      </c>
      <c r="O88" s="41">
        <f t="shared" si="34"/>
        <v>15000</v>
      </c>
      <c r="P88" s="41">
        <f t="shared" si="34"/>
        <v>15000</v>
      </c>
      <c r="Q88" s="41">
        <f t="shared" si="34"/>
        <v>15000</v>
      </c>
      <c r="R88" s="208">
        <f t="shared" si="34"/>
        <v>15000</v>
      </c>
      <c r="S88" s="1"/>
      <c r="T88" s="1"/>
      <c r="U88" s="1"/>
      <c r="V88" s="1"/>
    </row>
    <row r="89" spans="2:22" ht="16.5" thickBot="1">
      <c r="B89" s="52"/>
      <c r="C89" s="233"/>
      <c r="D89" s="71"/>
      <c r="E89" s="96"/>
      <c r="F89" s="351"/>
      <c r="G89" s="355"/>
      <c r="H89" s="356"/>
      <c r="I89" s="41"/>
      <c r="J89" s="41"/>
      <c r="K89" s="41"/>
      <c r="L89" s="53"/>
      <c r="M89" s="53"/>
      <c r="N89" s="53"/>
      <c r="O89" s="53"/>
      <c r="P89" s="49"/>
      <c r="Q89" s="49"/>
      <c r="R89" s="71"/>
      <c r="S89" s="1"/>
      <c r="T89" s="1"/>
      <c r="U89" s="1"/>
      <c r="V89" s="1"/>
    </row>
    <row r="90" spans="2:22" ht="33" thickBot="1">
      <c r="B90" s="57" t="s">
        <v>126</v>
      </c>
      <c r="C90" s="262"/>
      <c r="D90" s="104">
        <f>D88/(D87-D86)</f>
        <v>2.8937857726901064</v>
      </c>
      <c r="E90" s="96"/>
      <c r="F90" s="357" t="s">
        <v>127</v>
      </c>
      <c r="G90" s="358"/>
      <c r="H90" s="359"/>
      <c r="I90" s="101"/>
      <c r="J90" s="59">
        <f>(J87+(J86*J88))/(J88)</f>
        <v>27.21849309714552</v>
      </c>
      <c r="K90" s="59">
        <f>(K87+(K86*K88))/(K88)</f>
        <v>12.196564390114617</v>
      </c>
      <c r="L90" s="59">
        <f>(L87+(L86*L88))/(L88)</f>
        <v>11.042339413205248</v>
      </c>
      <c r="M90" s="59">
        <f aca="true" t="shared" si="35" ref="M90:R90">(M87+(M86*M88))/(M88)</f>
        <v>10.877486077654488</v>
      </c>
      <c r="N90" s="59">
        <f t="shared" si="35"/>
        <v>10.701093008615173</v>
      </c>
      <c r="O90" s="59">
        <f t="shared" si="35"/>
        <v>10.51235242474311</v>
      </c>
      <c r="P90" s="59">
        <f t="shared" si="35"/>
        <v>8.646733333333334</v>
      </c>
      <c r="Q90" s="59">
        <f t="shared" si="35"/>
        <v>8.646733333333334</v>
      </c>
      <c r="R90" s="78">
        <f t="shared" si="35"/>
        <v>8.646733333333334</v>
      </c>
      <c r="S90" s="1"/>
      <c r="T90" s="1"/>
      <c r="U90" s="1"/>
      <c r="V90" s="1"/>
    </row>
    <row r="91" spans="5:22" ht="16.5" thickBot="1">
      <c r="E91" s="28"/>
      <c r="S91" s="1"/>
      <c r="T91" s="1"/>
      <c r="U91" s="1"/>
      <c r="V91" s="1"/>
    </row>
    <row r="92" spans="2:22" ht="16.5" thickBot="1">
      <c r="B92" s="8" t="s">
        <v>102</v>
      </c>
      <c r="C92" s="7"/>
      <c r="D92" t="s">
        <v>248</v>
      </c>
      <c r="O92" s="1"/>
      <c r="P92" s="1"/>
      <c r="Q92" s="1"/>
      <c r="R92" s="1"/>
      <c r="S92" s="1"/>
      <c r="T92" s="1"/>
      <c r="U92" s="1"/>
      <c r="V92" s="1"/>
    </row>
    <row r="93" spans="2:22" ht="16.5" thickBot="1">
      <c r="B93" s="8" t="s">
        <v>179</v>
      </c>
      <c r="C93" s="7"/>
      <c r="D93" t="s">
        <v>256</v>
      </c>
      <c r="E93" s="4"/>
      <c r="O93" s="1"/>
      <c r="P93" s="1"/>
      <c r="Q93" s="1"/>
      <c r="R93" s="1"/>
      <c r="S93" s="1"/>
      <c r="T93" s="1"/>
      <c r="U93" s="1"/>
      <c r="V93" s="1"/>
    </row>
    <row r="94" spans="2:22" ht="16.5" thickBot="1">
      <c r="B94" s="8" t="s">
        <v>289</v>
      </c>
      <c r="C94" s="7"/>
      <c r="D94" t="s">
        <v>257</v>
      </c>
      <c r="O94" s="1"/>
      <c r="P94" s="1"/>
      <c r="Q94" s="1"/>
      <c r="R94" s="1"/>
      <c r="S94" s="1"/>
      <c r="T94" s="1"/>
      <c r="U94" s="1"/>
      <c r="V94" s="1"/>
    </row>
    <row r="95" spans="2:22" ht="16.5" thickBot="1">
      <c r="B95" s="8" t="s">
        <v>70</v>
      </c>
      <c r="C95" s="7"/>
      <c r="D95" t="s">
        <v>288</v>
      </c>
      <c r="O95" s="1"/>
      <c r="P95" s="1"/>
      <c r="Q95" s="1"/>
      <c r="R95" s="1"/>
      <c r="S95" s="1"/>
      <c r="T95" s="1"/>
      <c r="U95" s="1"/>
      <c r="V95" s="1"/>
    </row>
    <row r="96" spans="2:18" ht="16.5" thickBot="1">
      <c r="B96" s="8" t="s">
        <v>72</v>
      </c>
      <c r="C96" s="7"/>
      <c r="D96" t="s">
        <v>253</v>
      </c>
      <c r="O96" s="1"/>
      <c r="P96" s="1"/>
      <c r="Q96" s="1"/>
      <c r="R96" s="1"/>
    </row>
    <row r="97" spans="2:18" ht="16.5" thickBot="1">
      <c r="B97" s="8" t="s">
        <v>78</v>
      </c>
      <c r="C97" s="7"/>
      <c r="D97" t="s">
        <v>108</v>
      </c>
      <c r="O97" s="1"/>
      <c r="P97" s="1"/>
      <c r="Q97" s="1"/>
      <c r="R97" s="1"/>
    </row>
    <row r="98" spans="2:18" ht="16.5" thickBot="1">
      <c r="B98" s="8" t="s">
        <v>20</v>
      </c>
      <c r="C98" s="7"/>
      <c r="D98" t="s">
        <v>109</v>
      </c>
      <c r="O98" s="1"/>
      <c r="P98" s="1"/>
      <c r="Q98" s="1"/>
      <c r="R98" s="1"/>
    </row>
    <row r="99" spans="2:18" ht="16.5" thickBot="1">
      <c r="B99" s="4" t="s">
        <v>174</v>
      </c>
      <c r="C99" s="23"/>
      <c r="D99" t="s">
        <v>258</v>
      </c>
      <c r="O99" s="1"/>
      <c r="P99" s="1"/>
      <c r="Q99" s="1"/>
      <c r="R99" s="1"/>
    </row>
    <row r="100" spans="2:18" ht="16.5" thickBot="1">
      <c r="B100" s="8" t="s">
        <v>101</v>
      </c>
      <c r="C100" s="7"/>
      <c r="D100" t="s">
        <v>291</v>
      </c>
      <c r="O100" s="1"/>
      <c r="P100" s="1"/>
      <c r="Q100" s="1"/>
      <c r="R100" s="1"/>
    </row>
    <row r="101" spans="15:18" ht="16.5" thickBot="1">
      <c r="O101" s="1"/>
      <c r="P101" s="1"/>
      <c r="Q101" s="1"/>
      <c r="R101" s="1"/>
    </row>
    <row r="102" spans="15:18" ht="16.5" thickBot="1">
      <c r="O102" s="1"/>
      <c r="P102" s="1"/>
      <c r="Q102" s="1"/>
      <c r="R102" s="1"/>
    </row>
    <row r="103" spans="15:18" ht="16.5" thickBot="1">
      <c r="O103" s="1"/>
      <c r="P103" s="1"/>
      <c r="Q103" s="1"/>
      <c r="R103" s="1"/>
    </row>
    <row r="104" spans="15:18" ht="16.5" thickBot="1">
      <c r="O104" s="1"/>
      <c r="P104" s="1"/>
      <c r="Q104" s="1"/>
      <c r="R104" s="1"/>
    </row>
    <row r="105" spans="15:18" ht="16.5" thickBot="1">
      <c r="O105" s="1"/>
      <c r="P105" s="1"/>
      <c r="Q105" s="1"/>
      <c r="R105" s="1"/>
    </row>
  </sheetData>
  <sheetProtection/>
  <mergeCells count="23">
    <mergeCell ref="B5:I8"/>
    <mergeCell ref="B10:E10"/>
    <mergeCell ref="B11:E11"/>
    <mergeCell ref="C34:C41"/>
    <mergeCell ref="C42:C49"/>
    <mergeCell ref="F14:H14"/>
    <mergeCell ref="F82:H82"/>
    <mergeCell ref="F83:H83"/>
    <mergeCell ref="F84:H84"/>
    <mergeCell ref="F88:H88"/>
    <mergeCell ref="F89:H89"/>
    <mergeCell ref="F90:H90"/>
    <mergeCell ref="F85:H85"/>
    <mergeCell ref="F87:H87"/>
    <mergeCell ref="F86:H86"/>
    <mergeCell ref="B81:D81"/>
    <mergeCell ref="B14:D14"/>
    <mergeCell ref="B15:D15"/>
    <mergeCell ref="F15:H15"/>
    <mergeCell ref="C53:C65"/>
    <mergeCell ref="C66:C68"/>
    <mergeCell ref="F81:R81"/>
    <mergeCell ref="B16:I1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S80"/>
  <sheetViews>
    <sheetView zoomScale="75" zoomScaleNormal="75" workbookViewId="0" topLeftCell="A32">
      <selection activeCell="G76" sqref="G76"/>
    </sheetView>
  </sheetViews>
  <sheetFormatPr defaultColWidth="11.00390625" defaultRowHeight="12.75"/>
  <cols>
    <col min="1" max="1" width="2.625" style="4" customWidth="1"/>
    <col min="2" max="2" width="44.375" style="4" customWidth="1"/>
    <col min="3" max="3" width="16.375" style="4" customWidth="1"/>
    <col min="4" max="4" width="10.75390625" style="4" customWidth="1"/>
    <col min="5" max="5" width="11.125" style="4" bestFit="1" customWidth="1"/>
    <col min="6" max="6" width="12.25390625" style="4" bestFit="1" customWidth="1"/>
    <col min="7" max="11" width="11.125" style="4" bestFit="1" customWidth="1"/>
    <col min="12" max="12" width="12.25390625" style="4" bestFit="1" customWidth="1"/>
    <col min="13" max="13" width="12.125" style="4" bestFit="1" customWidth="1"/>
    <col min="14" max="14" width="12.00390625" style="4" bestFit="1" customWidth="1"/>
    <col min="15" max="15" width="12.25390625" style="4" bestFit="1" customWidth="1"/>
    <col min="16" max="16384" width="10.75390625" style="4" customWidth="1"/>
  </cols>
  <sheetData>
    <row r="1" spans="1:17" ht="16.5" thickBot="1">
      <c r="A1" s="23"/>
      <c r="B1" s="23"/>
      <c r="C1" s="23"/>
      <c r="D1" s="23"/>
      <c r="E1" s="23"/>
      <c r="F1" s="23"/>
      <c r="G1" s="23"/>
      <c r="H1" s="23"/>
      <c r="I1" s="23"/>
      <c r="J1" s="23"/>
      <c r="K1" s="23"/>
      <c r="L1" s="23"/>
      <c r="M1" s="23"/>
      <c r="N1" s="23"/>
      <c r="O1" s="23"/>
      <c r="P1" s="23"/>
      <c r="Q1" s="22"/>
    </row>
    <row r="2" spans="1:17" ht="18.75" thickBot="1">
      <c r="A2" s="23"/>
      <c r="B2" s="296" t="s">
        <v>267</v>
      </c>
      <c r="C2" s="23"/>
      <c r="D2" s="23"/>
      <c r="E2" s="23"/>
      <c r="F2" s="23"/>
      <c r="G2" s="23"/>
      <c r="H2" s="23"/>
      <c r="I2" s="23"/>
      <c r="J2" s="23"/>
      <c r="K2" s="23"/>
      <c r="L2" s="23"/>
      <c r="M2" s="23"/>
      <c r="N2" s="23"/>
      <c r="O2" s="23"/>
      <c r="P2" s="23"/>
      <c r="Q2" s="22"/>
    </row>
    <row r="3" spans="1:17" ht="16.5" thickBot="1">
      <c r="A3" s="23"/>
      <c r="B3" s="23"/>
      <c r="C3" s="23"/>
      <c r="D3" s="23"/>
      <c r="E3" s="23"/>
      <c r="F3" s="23"/>
      <c r="G3" s="23"/>
      <c r="H3" s="23"/>
      <c r="I3" s="23"/>
      <c r="J3" s="23"/>
      <c r="K3" s="23"/>
      <c r="L3" s="23"/>
      <c r="M3" s="23"/>
      <c r="N3" s="23"/>
      <c r="O3" s="23"/>
      <c r="P3" s="23"/>
      <c r="Q3" s="22"/>
    </row>
    <row r="4" spans="1:17" ht="16.5" thickBot="1">
      <c r="A4" s="23"/>
      <c r="B4" s="381" t="s">
        <v>305</v>
      </c>
      <c r="C4" s="382"/>
      <c r="D4" s="382"/>
      <c r="E4" s="382"/>
      <c r="F4" s="382"/>
      <c r="G4" s="383"/>
      <c r="H4" s="23"/>
      <c r="I4" s="23"/>
      <c r="J4" s="23"/>
      <c r="K4" s="23"/>
      <c r="L4" s="23"/>
      <c r="M4" s="23"/>
      <c r="N4" s="23"/>
      <c r="O4" s="23"/>
      <c r="P4" s="23"/>
      <c r="Q4" s="22"/>
    </row>
    <row r="5" spans="1:17" ht="16.5" thickBot="1">
      <c r="A5" s="23"/>
      <c r="B5" s="384"/>
      <c r="C5" s="385"/>
      <c r="D5" s="385"/>
      <c r="E5" s="385"/>
      <c r="F5" s="385"/>
      <c r="G5" s="386"/>
      <c r="H5" s="23"/>
      <c r="I5" s="23"/>
      <c r="J5" s="23"/>
      <c r="K5" s="23"/>
      <c r="L5" s="23"/>
      <c r="M5" s="23"/>
      <c r="N5" s="23"/>
      <c r="O5" s="23"/>
      <c r="P5" s="23"/>
      <c r="Q5" s="22"/>
    </row>
    <row r="6" spans="1:17" ht="16.5" thickBot="1">
      <c r="A6" s="23"/>
      <c r="B6" s="387"/>
      <c r="C6" s="388"/>
      <c r="D6" s="388"/>
      <c r="E6" s="388"/>
      <c r="F6" s="388"/>
      <c r="G6" s="389"/>
      <c r="H6" s="23"/>
      <c r="I6" s="23"/>
      <c r="J6" s="23"/>
      <c r="K6" s="23"/>
      <c r="L6" s="23"/>
      <c r="M6" s="23"/>
      <c r="N6" s="23"/>
      <c r="O6" s="23"/>
      <c r="P6" s="23"/>
      <c r="Q6" s="22"/>
    </row>
    <row r="7" spans="1:17" ht="16.5" thickBot="1">
      <c r="A7" s="23"/>
      <c r="B7" s="23"/>
      <c r="C7" s="23"/>
      <c r="D7" s="23"/>
      <c r="E7" s="23"/>
      <c r="F7" s="23"/>
      <c r="G7" s="23"/>
      <c r="H7" s="23"/>
      <c r="I7" s="23"/>
      <c r="J7" s="23"/>
      <c r="K7" s="23"/>
      <c r="L7" s="23"/>
      <c r="M7" s="23"/>
      <c r="N7" s="23"/>
      <c r="O7" s="23"/>
      <c r="P7" s="23"/>
      <c r="Q7" s="22"/>
    </row>
    <row r="8" spans="1:17" ht="16.5" thickBot="1">
      <c r="A8" s="23"/>
      <c r="B8" s="376" t="s">
        <v>8</v>
      </c>
      <c r="C8" s="377"/>
      <c r="D8" s="378"/>
      <c r="E8" s="378"/>
      <c r="F8" s="378"/>
      <c r="G8" s="378"/>
      <c r="H8" s="378"/>
      <c r="I8" s="379"/>
      <c r="J8" s="379"/>
      <c r="K8" s="379"/>
      <c r="L8" s="379"/>
      <c r="M8" s="379"/>
      <c r="N8" s="379"/>
      <c r="O8" s="379"/>
      <c r="P8" s="380"/>
      <c r="Q8" s="22"/>
    </row>
    <row r="9" spans="1:17" ht="16.5" thickBot="1">
      <c r="A9" s="23"/>
      <c r="B9" s="136" t="s">
        <v>166</v>
      </c>
      <c r="C9" s="249"/>
      <c r="D9" s="72" t="s">
        <v>215</v>
      </c>
      <c r="E9" s="72" t="s">
        <v>65</v>
      </c>
      <c r="F9" s="72" t="s">
        <v>66</v>
      </c>
      <c r="G9" s="72" t="s">
        <v>146</v>
      </c>
      <c r="H9" s="72" t="s">
        <v>147</v>
      </c>
      <c r="I9" s="72" t="s">
        <v>148</v>
      </c>
      <c r="J9" s="72" t="s">
        <v>149</v>
      </c>
      <c r="K9" s="72" t="s">
        <v>150</v>
      </c>
      <c r="L9" s="72" t="s">
        <v>151</v>
      </c>
      <c r="M9" s="72" t="s">
        <v>152</v>
      </c>
      <c r="N9" s="72" t="s">
        <v>153</v>
      </c>
      <c r="O9" s="72" t="s">
        <v>154</v>
      </c>
      <c r="P9" s="73"/>
      <c r="Q9" s="22"/>
    </row>
    <row r="10" spans="1:17" ht="16.5" thickBot="1">
      <c r="A10" s="23"/>
      <c r="B10" s="137"/>
      <c r="C10" s="250"/>
      <c r="D10" s="72" t="s">
        <v>216</v>
      </c>
      <c r="E10" s="72" t="s">
        <v>217</v>
      </c>
      <c r="F10" s="72" t="s">
        <v>280</v>
      </c>
      <c r="G10" s="72" t="s">
        <v>190</v>
      </c>
      <c r="H10" s="72" t="s">
        <v>191</v>
      </c>
      <c r="I10" s="72" t="s">
        <v>13</v>
      </c>
      <c r="J10" s="72" t="s">
        <v>14</v>
      </c>
      <c r="K10" s="72" t="s">
        <v>192</v>
      </c>
      <c r="L10" s="72" t="s">
        <v>54</v>
      </c>
      <c r="M10" s="72" t="s">
        <v>55</v>
      </c>
      <c r="N10" s="72" t="s">
        <v>0</v>
      </c>
      <c r="O10" s="72" t="s">
        <v>120</v>
      </c>
      <c r="P10" s="73"/>
      <c r="Q10" s="22"/>
    </row>
    <row r="11" spans="1:17" ht="16.5" thickBot="1">
      <c r="A11" s="23"/>
      <c r="B11" s="135" t="s">
        <v>58</v>
      </c>
      <c r="C11" s="252"/>
      <c r="D11" s="130"/>
      <c r="E11" s="130"/>
      <c r="F11" s="130"/>
      <c r="G11" s="130"/>
      <c r="H11" s="130"/>
      <c r="I11" s="130"/>
      <c r="J11" s="130"/>
      <c r="K11" s="130"/>
      <c r="L11" s="130"/>
      <c r="M11" s="130"/>
      <c r="N11" s="130"/>
      <c r="O11" s="130"/>
      <c r="P11" s="131" t="s">
        <v>104</v>
      </c>
      <c r="Q11" s="22"/>
    </row>
    <row r="12" spans="1:17" ht="16.5" thickBot="1">
      <c r="A12" s="23"/>
      <c r="B12" s="138" t="s">
        <v>59</v>
      </c>
      <c r="C12" s="287"/>
      <c r="D12" s="113"/>
      <c r="E12" s="117">
        <f>D57*-1</f>
        <v>-8664.666666666666</v>
      </c>
      <c r="F12" s="117">
        <f aca="true" t="shared" si="0" ref="F12:O12">(E57*-1)+E12</f>
        <v>-17246</v>
      </c>
      <c r="G12" s="117">
        <f t="shared" si="0"/>
        <v>-25827.333333333332</v>
      </c>
      <c r="H12" s="117">
        <f t="shared" si="0"/>
        <v>-34408.666666666664</v>
      </c>
      <c r="I12" s="117">
        <f t="shared" si="0"/>
        <v>-42990</v>
      </c>
      <c r="J12" s="117">
        <f t="shared" si="0"/>
        <v>-51571.33333333333</v>
      </c>
      <c r="K12" s="117">
        <f t="shared" si="0"/>
        <v>-60152.66666666666</v>
      </c>
      <c r="L12" s="117">
        <f t="shared" si="0"/>
        <v>-68733.99999999999</v>
      </c>
      <c r="M12" s="117">
        <f t="shared" si="0"/>
        <v>-77315.33333333331</v>
      </c>
      <c r="N12" s="117">
        <f t="shared" si="0"/>
        <v>-85896.66666666664</v>
      </c>
      <c r="O12" s="117">
        <f t="shared" si="0"/>
        <v>-94477.99999999997</v>
      </c>
      <c r="P12" s="118"/>
      <c r="Q12" s="22"/>
    </row>
    <row r="13" spans="1:17" ht="16.5" thickBot="1">
      <c r="A13" s="23"/>
      <c r="B13" s="137" t="s">
        <v>79</v>
      </c>
      <c r="C13" s="250"/>
      <c r="D13" s="81">
        <v>0</v>
      </c>
      <c r="E13" s="81">
        <v>0</v>
      </c>
      <c r="F13" s="81">
        <v>0</v>
      </c>
      <c r="G13" s="81">
        <v>0</v>
      </c>
      <c r="H13" s="81">
        <v>0</v>
      </c>
      <c r="I13" s="81">
        <v>0</v>
      </c>
      <c r="J13" s="81">
        <v>0</v>
      </c>
      <c r="K13" s="81">
        <v>0</v>
      </c>
      <c r="L13" s="81">
        <v>0</v>
      </c>
      <c r="M13" s="81">
        <v>0</v>
      </c>
      <c r="N13" s="81">
        <v>0</v>
      </c>
      <c r="O13" s="81">
        <v>0</v>
      </c>
      <c r="P13" s="82">
        <f aca="true" t="shared" si="1" ref="P13:P19">SUM(D13:O13)</f>
        <v>0</v>
      </c>
      <c r="Q13" s="22"/>
    </row>
    <row r="14" spans="1:17" ht="16.5" thickBot="1">
      <c r="A14" s="23"/>
      <c r="B14" s="137" t="s">
        <v>133</v>
      </c>
      <c r="C14" s="250"/>
      <c r="D14" s="81">
        <f>'Net Income'!E73</f>
        <v>160799.5</v>
      </c>
      <c r="E14" s="81">
        <v>0</v>
      </c>
      <c r="F14" s="81">
        <v>0</v>
      </c>
      <c r="G14" s="81">
        <v>0</v>
      </c>
      <c r="H14" s="81">
        <v>0</v>
      </c>
      <c r="I14" s="81">
        <v>0</v>
      </c>
      <c r="J14" s="81">
        <v>0</v>
      </c>
      <c r="K14" s="81">
        <v>0</v>
      </c>
      <c r="L14" s="81">
        <v>0</v>
      </c>
      <c r="M14" s="81">
        <v>0</v>
      </c>
      <c r="N14" s="81">
        <v>0</v>
      </c>
      <c r="O14" s="81">
        <v>0</v>
      </c>
      <c r="P14" s="82">
        <f t="shared" si="1"/>
        <v>160799.5</v>
      </c>
      <c r="Q14" s="22"/>
    </row>
    <row r="15" spans="1:18" ht="16.5" thickBot="1">
      <c r="A15" s="23"/>
      <c r="B15" s="137" t="s">
        <v>132</v>
      </c>
      <c r="C15" s="250"/>
      <c r="D15" s="81">
        <f>Startup!D23</f>
        <v>184000</v>
      </c>
      <c r="E15" s="81">
        <v>0</v>
      </c>
      <c r="F15" s="81">
        <v>0</v>
      </c>
      <c r="G15" s="81">
        <v>0</v>
      </c>
      <c r="H15" s="81">
        <v>0</v>
      </c>
      <c r="I15" s="81">
        <v>0</v>
      </c>
      <c r="J15" s="81">
        <v>0</v>
      </c>
      <c r="K15" s="81">
        <v>0</v>
      </c>
      <c r="L15" s="81">
        <v>0</v>
      </c>
      <c r="M15" s="81">
        <v>0</v>
      </c>
      <c r="N15" s="81">
        <v>0</v>
      </c>
      <c r="O15" s="81">
        <v>0</v>
      </c>
      <c r="P15" s="82">
        <f t="shared" si="1"/>
        <v>184000</v>
      </c>
      <c r="Q15" s="22"/>
      <c r="R15" s="9"/>
    </row>
    <row r="16" spans="1:17" s="8" customFormat="1" ht="16.5" thickBot="1">
      <c r="A16" s="7"/>
      <c r="B16" s="139" t="s">
        <v>212</v>
      </c>
      <c r="C16" s="253"/>
      <c r="D16" s="119">
        <v>0</v>
      </c>
      <c r="E16" s="119">
        <v>0</v>
      </c>
      <c r="F16" s="119">
        <v>0</v>
      </c>
      <c r="G16" s="119">
        <v>0</v>
      </c>
      <c r="H16" s="119">
        <v>0</v>
      </c>
      <c r="I16" s="119">
        <v>0</v>
      </c>
      <c r="J16" s="119">
        <v>0</v>
      </c>
      <c r="K16" s="119">
        <v>0</v>
      </c>
      <c r="L16" s="119">
        <v>0</v>
      </c>
      <c r="M16" s="119">
        <v>0</v>
      </c>
      <c r="N16" s="119">
        <v>0</v>
      </c>
      <c r="O16" s="119">
        <v>0</v>
      </c>
      <c r="P16" s="82">
        <f t="shared" si="1"/>
        <v>0</v>
      </c>
      <c r="Q16" s="24"/>
    </row>
    <row r="17" spans="1:17" s="8" customFormat="1" ht="16.5" thickBot="1">
      <c r="A17" s="7"/>
      <c r="B17" s="139" t="s">
        <v>213</v>
      </c>
      <c r="C17" s="253"/>
      <c r="D17" s="119">
        <v>0</v>
      </c>
      <c r="E17" s="119">
        <v>0</v>
      </c>
      <c r="F17" s="119">
        <v>0</v>
      </c>
      <c r="G17" s="119">
        <v>0</v>
      </c>
      <c r="H17" s="119">
        <v>0</v>
      </c>
      <c r="I17" s="119">
        <v>0</v>
      </c>
      <c r="J17" s="119">
        <v>0</v>
      </c>
      <c r="K17" s="119">
        <v>0</v>
      </c>
      <c r="L17" s="119">
        <v>0</v>
      </c>
      <c r="M17" s="119">
        <v>0</v>
      </c>
      <c r="N17" s="119">
        <v>0</v>
      </c>
      <c r="O17" s="119">
        <v>0</v>
      </c>
      <c r="P17" s="120">
        <f t="shared" si="1"/>
        <v>0</v>
      </c>
      <c r="Q17" s="24"/>
    </row>
    <row r="18" spans="1:17" s="8" customFormat="1" ht="16.5" thickBot="1">
      <c r="A18" s="7"/>
      <c r="B18" s="139" t="s">
        <v>77</v>
      </c>
      <c r="C18" s="253"/>
      <c r="D18" s="119">
        <f>Financing!C18</f>
        <v>0</v>
      </c>
      <c r="E18" s="119">
        <v>0</v>
      </c>
      <c r="F18" s="119">
        <v>0</v>
      </c>
      <c r="G18" s="119">
        <v>0</v>
      </c>
      <c r="H18" s="119">
        <v>0</v>
      </c>
      <c r="I18" s="119">
        <v>0</v>
      </c>
      <c r="J18" s="119">
        <v>0</v>
      </c>
      <c r="K18" s="119">
        <v>0</v>
      </c>
      <c r="L18" s="119">
        <v>0</v>
      </c>
      <c r="M18" s="119">
        <v>0</v>
      </c>
      <c r="N18" s="119">
        <v>0</v>
      </c>
      <c r="O18" s="119">
        <v>0</v>
      </c>
      <c r="P18" s="120">
        <f t="shared" si="1"/>
        <v>0</v>
      </c>
      <c r="Q18" s="24"/>
    </row>
    <row r="19" spans="1:17" s="8" customFormat="1" ht="16.5" thickBot="1">
      <c r="A19" s="7"/>
      <c r="B19" s="139" t="s">
        <v>118</v>
      </c>
      <c r="C19" s="253"/>
      <c r="D19" s="119">
        <f>Financing!C14</f>
        <v>106950</v>
      </c>
      <c r="E19" s="119">
        <v>0</v>
      </c>
      <c r="F19" s="119">
        <v>0</v>
      </c>
      <c r="G19" s="119">
        <v>0</v>
      </c>
      <c r="H19" s="119">
        <v>0</v>
      </c>
      <c r="I19" s="119">
        <v>0</v>
      </c>
      <c r="J19" s="119">
        <v>0</v>
      </c>
      <c r="K19" s="119">
        <v>0</v>
      </c>
      <c r="L19" s="119">
        <v>0</v>
      </c>
      <c r="M19" s="119">
        <v>0</v>
      </c>
      <c r="N19" s="119">
        <v>0</v>
      </c>
      <c r="O19" s="119">
        <v>0</v>
      </c>
      <c r="P19" s="120">
        <f t="shared" si="1"/>
        <v>106950</v>
      </c>
      <c r="Q19" s="24"/>
    </row>
    <row r="20" spans="1:17" ht="16.5" thickBot="1">
      <c r="A20" s="23"/>
      <c r="B20" s="140"/>
      <c r="C20" s="288"/>
      <c r="D20" s="121"/>
      <c r="E20" s="121"/>
      <c r="F20" s="121"/>
      <c r="G20" s="121"/>
      <c r="H20" s="121"/>
      <c r="I20" s="121"/>
      <c r="J20" s="121"/>
      <c r="K20" s="121"/>
      <c r="L20" s="121"/>
      <c r="M20" s="121"/>
      <c r="N20" s="121"/>
      <c r="O20" s="121"/>
      <c r="P20" s="122"/>
      <c r="Q20" s="22"/>
    </row>
    <row r="21" spans="1:17" s="3" customFormat="1" ht="16.5" thickBot="1">
      <c r="A21" s="116"/>
      <c r="B21" s="292" t="s">
        <v>155</v>
      </c>
      <c r="C21" s="293"/>
      <c r="D21" s="294">
        <f>SUM(D13:D19)</f>
        <v>451749.5</v>
      </c>
      <c r="E21" s="294">
        <f aca="true" t="shared" si="2" ref="E21:O21">SUM(E13:E20)</f>
        <v>0</v>
      </c>
      <c r="F21" s="294">
        <f t="shared" si="2"/>
        <v>0</v>
      </c>
      <c r="G21" s="294">
        <f t="shared" si="2"/>
        <v>0</v>
      </c>
      <c r="H21" s="294">
        <f t="shared" si="2"/>
        <v>0</v>
      </c>
      <c r="I21" s="294">
        <f t="shared" si="2"/>
        <v>0</v>
      </c>
      <c r="J21" s="294">
        <f t="shared" si="2"/>
        <v>0</v>
      </c>
      <c r="K21" s="294">
        <f t="shared" si="2"/>
        <v>0</v>
      </c>
      <c r="L21" s="294">
        <f t="shared" si="2"/>
        <v>0</v>
      </c>
      <c r="M21" s="294">
        <f t="shared" si="2"/>
        <v>0</v>
      </c>
      <c r="N21" s="294">
        <f t="shared" si="2"/>
        <v>0</v>
      </c>
      <c r="O21" s="294">
        <f t="shared" si="2"/>
        <v>0</v>
      </c>
      <c r="P21" s="295">
        <f>SUM(D21:O21)</f>
        <v>451749.5</v>
      </c>
      <c r="Q21" s="2"/>
    </row>
    <row r="22" spans="1:16" ht="16.5" thickBot="1">
      <c r="A22" s="25"/>
      <c r="B22" s="141"/>
      <c r="C22" s="141"/>
      <c r="D22" s="123"/>
      <c r="E22" s="123"/>
      <c r="F22" s="123"/>
      <c r="G22" s="123"/>
      <c r="H22" s="123"/>
      <c r="I22" s="123"/>
      <c r="J22" s="123"/>
      <c r="K22" s="123"/>
      <c r="L22" s="123"/>
      <c r="M22" s="123"/>
      <c r="N22" s="123"/>
      <c r="O22" s="123"/>
      <c r="P22" s="123"/>
    </row>
    <row r="23" spans="1:17" ht="16.5" thickBot="1">
      <c r="A23" s="23"/>
      <c r="B23" s="132" t="s">
        <v>16</v>
      </c>
      <c r="C23" s="289"/>
      <c r="D23" s="133"/>
      <c r="E23" s="133"/>
      <c r="F23" s="133"/>
      <c r="G23" s="133"/>
      <c r="H23" s="133"/>
      <c r="I23" s="133"/>
      <c r="J23" s="133"/>
      <c r="K23" s="133"/>
      <c r="L23" s="133"/>
      <c r="M23" s="133"/>
      <c r="N23" s="133"/>
      <c r="O23" s="133"/>
      <c r="P23" s="134"/>
      <c r="Q23" s="22"/>
    </row>
    <row r="24" spans="1:17" ht="16.5" thickBot="1">
      <c r="A24" s="23"/>
      <c r="B24" s="142" t="s">
        <v>17</v>
      </c>
      <c r="C24" s="259"/>
      <c r="D24" s="124"/>
      <c r="E24" s="124"/>
      <c r="F24" s="124"/>
      <c r="G24" s="124"/>
      <c r="H24" s="124"/>
      <c r="I24" s="124"/>
      <c r="J24" s="124"/>
      <c r="K24" s="124"/>
      <c r="L24" s="124"/>
      <c r="M24" s="124"/>
      <c r="N24" s="124"/>
      <c r="O24" s="124"/>
      <c r="P24" s="125"/>
      <c r="Q24" s="22"/>
    </row>
    <row r="25" spans="1:17" ht="16.5" thickBot="1">
      <c r="A25" s="23"/>
      <c r="B25" s="137"/>
      <c r="C25" s="250"/>
      <c r="D25" s="81"/>
      <c r="E25" s="81"/>
      <c r="F25" s="81"/>
      <c r="G25" s="81"/>
      <c r="H25" s="81"/>
      <c r="I25" s="81"/>
      <c r="J25" s="81"/>
      <c r="K25" s="81"/>
      <c r="L25" s="81"/>
      <c r="M25" s="81"/>
      <c r="N25" s="81"/>
      <c r="O25" s="81"/>
      <c r="P25" s="82" t="s">
        <v>156</v>
      </c>
      <c r="Q25" s="22"/>
    </row>
    <row r="26" spans="1:17" ht="16.5" thickBot="1">
      <c r="A26" s="23"/>
      <c r="B26" s="139" t="s">
        <v>88</v>
      </c>
      <c r="C26" s="305" t="s">
        <v>28</v>
      </c>
      <c r="D26" s="81">
        <f>'Net Income'!E34/12</f>
        <v>250</v>
      </c>
      <c r="E26" s="81">
        <f aca="true" t="shared" si="3" ref="E26:E38">D26</f>
        <v>250</v>
      </c>
      <c r="F26" s="81">
        <f aca="true" t="shared" si="4" ref="F26:O26">E26</f>
        <v>250</v>
      </c>
      <c r="G26" s="81">
        <f t="shared" si="4"/>
        <v>250</v>
      </c>
      <c r="H26" s="81">
        <f t="shared" si="4"/>
        <v>250</v>
      </c>
      <c r="I26" s="81">
        <f t="shared" si="4"/>
        <v>250</v>
      </c>
      <c r="J26" s="81">
        <f t="shared" si="4"/>
        <v>250</v>
      </c>
      <c r="K26" s="81">
        <f t="shared" si="4"/>
        <v>250</v>
      </c>
      <c r="L26" s="81">
        <f t="shared" si="4"/>
        <v>250</v>
      </c>
      <c r="M26" s="81">
        <f t="shared" si="4"/>
        <v>250</v>
      </c>
      <c r="N26" s="81">
        <f t="shared" si="4"/>
        <v>250</v>
      </c>
      <c r="O26" s="81">
        <f t="shared" si="4"/>
        <v>250</v>
      </c>
      <c r="P26" s="82">
        <f aca="true" t="shared" si="5" ref="P26:P56">SUM(D26:O26)</f>
        <v>3000</v>
      </c>
      <c r="Q26" s="22"/>
    </row>
    <row r="27" spans="1:17" ht="16.5" thickBot="1">
      <c r="A27" s="23"/>
      <c r="B27" s="137" t="s">
        <v>240</v>
      </c>
      <c r="C27" s="306"/>
      <c r="D27" s="81">
        <f>'Net Income'!E35/12</f>
        <v>125</v>
      </c>
      <c r="E27" s="81">
        <f t="shared" si="3"/>
        <v>125</v>
      </c>
      <c r="F27" s="81">
        <f aca="true" t="shared" si="6" ref="F27:O27">E27</f>
        <v>125</v>
      </c>
      <c r="G27" s="81">
        <f t="shared" si="6"/>
        <v>125</v>
      </c>
      <c r="H27" s="81">
        <f t="shared" si="6"/>
        <v>125</v>
      </c>
      <c r="I27" s="81">
        <f t="shared" si="6"/>
        <v>125</v>
      </c>
      <c r="J27" s="81">
        <f t="shared" si="6"/>
        <v>125</v>
      </c>
      <c r="K27" s="81">
        <f t="shared" si="6"/>
        <v>125</v>
      </c>
      <c r="L27" s="81">
        <f t="shared" si="6"/>
        <v>125</v>
      </c>
      <c r="M27" s="81">
        <f t="shared" si="6"/>
        <v>125</v>
      </c>
      <c r="N27" s="81">
        <f t="shared" si="6"/>
        <v>125</v>
      </c>
      <c r="O27" s="81">
        <f t="shared" si="6"/>
        <v>125</v>
      </c>
      <c r="P27" s="82">
        <f t="shared" si="5"/>
        <v>1500</v>
      </c>
      <c r="Q27" s="22"/>
    </row>
    <row r="28" spans="1:17" ht="16.5" thickBot="1">
      <c r="A28" s="23"/>
      <c r="B28" s="139" t="s">
        <v>312</v>
      </c>
      <c r="C28" s="306"/>
      <c r="D28" s="81">
        <f>'Net Income'!E36/12</f>
        <v>83.33333333333333</v>
      </c>
      <c r="E28" s="81">
        <f t="shared" si="3"/>
        <v>83.33333333333333</v>
      </c>
      <c r="F28" s="81">
        <f aca="true" t="shared" si="7" ref="F28:O29">E28</f>
        <v>83.33333333333333</v>
      </c>
      <c r="G28" s="81">
        <f t="shared" si="7"/>
        <v>83.33333333333333</v>
      </c>
      <c r="H28" s="81">
        <f t="shared" si="7"/>
        <v>83.33333333333333</v>
      </c>
      <c r="I28" s="81">
        <f t="shared" si="7"/>
        <v>83.33333333333333</v>
      </c>
      <c r="J28" s="81">
        <f t="shared" si="7"/>
        <v>83.33333333333333</v>
      </c>
      <c r="K28" s="81">
        <f t="shared" si="7"/>
        <v>83.33333333333333</v>
      </c>
      <c r="L28" s="81">
        <f t="shared" si="7"/>
        <v>83.33333333333333</v>
      </c>
      <c r="M28" s="81">
        <f t="shared" si="7"/>
        <v>83.33333333333333</v>
      </c>
      <c r="N28" s="81">
        <f t="shared" si="7"/>
        <v>83.33333333333333</v>
      </c>
      <c r="O28" s="81">
        <f t="shared" si="7"/>
        <v>83.33333333333333</v>
      </c>
      <c r="P28" s="82">
        <f t="shared" si="5"/>
        <v>1000.0000000000001</v>
      </c>
      <c r="Q28" s="22"/>
    </row>
    <row r="29" spans="1:17" ht="16.5" thickBot="1">
      <c r="A29" s="23"/>
      <c r="B29" s="137" t="s">
        <v>4</v>
      </c>
      <c r="C29" s="306"/>
      <c r="D29" s="81">
        <f>'Net Income'!E37/12</f>
        <v>291.6666666666667</v>
      </c>
      <c r="E29" s="81">
        <f t="shared" si="3"/>
        <v>291.6666666666667</v>
      </c>
      <c r="F29" s="81">
        <f aca="true" t="shared" si="8" ref="F29:K30">E29</f>
        <v>291.6666666666667</v>
      </c>
      <c r="G29" s="81">
        <f t="shared" si="8"/>
        <v>291.6666666666667</v>
      </c>
      <c r="H29" s="81">
        <f t="shared" si="8"/>
        <v>291.6666666666667</v>
      </c>
      <c r="I29" s="81">
        <f t="shared" si="8"/>
        <v>291.6666666666667</v>
      </c>
      <c r="J29" s="81">
        <f t="shared" si="8"/>
        <v>291.6666666666667</v>
      </c>
      <c r="K29" s="81">
        <f t="shared" si="8"/>
        <v>291.6666666666667</v>
      </c>
      <c r="L29" s="81">
        <f t="shared" si="7"/>
        <v>291.6666666666667</v>
      </c>
      <c r="M29" s="81">
        <f t="shared" si="7"/>
        <v>291.6666666666667</v>
      </c>
      <c r="N29" s="81">
        <f t="shared" si="7"/>
        <v>291.6666666666667</v>
      </c>
      <c r="O29" s="81">
        <f t="shared" si="7"/>
        <v>291.6666666666667</v>
      </c>
      <c r="P29" s="82">
        <f t="shared" si="5"/>
        <v>3499.9999999999995</v>
      </c>
      <c r="Q29" s="22"/>
    </row>
    <row r="30" spans="1:17" ht="16.5" thickBot="1">
      <c r="A30" s="23"/>
      <c r="B30" s="137" t="s">
        <v>86</v>
      </c>
      <c r="C30" s="306"/>
      <c r="D30" s="81">
        <f>'Net Income'!E38/12</f>
        <v>208.33333333333334</v>
      </c>
      <c r="E30" s="81">
        <f t="shared" si="3"/>
        <v>208.33333333333334</v>
      </c>
      <c r="F30" s="81">
        <f t="shared" si="8"/>
        <v>208.33333333333334</v>
      </c>
      <c r="G30" s="81">
        <f t="shared" si="8"/>
        <v>208.33333333333334</v>
      </c>
      <c r="H30" s="81">
        <f t="shared" si="8"/>
        <v>208.33333333333334</v>
      </c>
      <c r="I30" s="81">
        <f t="shared" si="8"/>
        <v>208.33333333333334</v>
      </c>
      <c r="J30" s="81">
        <f t="shared" si="8"/>
        <v>208.33333333333334</v>
      </c>
      <c r="K30" s="81">
        <f aca="true" t="shared" si="9" ref="K30:O31">J30</f>
        <v>208.33333333333334</v>
      </c>
      <c r="L30" s="81">
        <f t="shared" si="9"/>
        <v>208.33333333333334</v>
      </c>
      <c r="M30" s="81">
        <f t="shared" si="9"/>
        <v>208.33333333333334</v>
      </c>
      <c r="N30" s="81">
        <f t="shared" si="9"/>
        <v>208.33333333333334</v>
      </c>
      <c r="O30" s="81">
        <f t="shared" si="9"/>
        <v>208.33333333333334</v>
      </c>
      <c r="P30" s="82">
        <f t="shared" si="5"/>
        <v>2500</v>
      </c>
      <c r="Q30" s="22"/>
    </row>
    <row r="31" spans="1:17" ht="16.5" thickBot="1">
      <c r="A31" s="23"/>
      <c r="B31" s="137" t="s">
        <v>251</v>
      </c>
      <c r="C31" s="306"/>
      <c r="D31" s="81">
        <f>'Net Income'!E39/12</f>
        <v>500</v>
      </c>
      <c r="E31" s="81">
        <f t="shared" si="3"/>
        <v>500</v>
      </c>
      <c r="F31" s="81">
        <f>E31</f>
        <v>500</v>
      </c>
      <c r="G31" s="81">
        <f>F31</f>
        <v>500</v>
      </c>
      <c r="H31" s="81">
        <f>G31</f>
        <v>500</v>
      </c>
      <c r="I31" s="81">
        <f>H31</f>
        <v>500</v>
      </c>
      <c r="J31" s="81">
        <f>I31</f>
        <v>500</v>
      </c>
      <c r="K31" s="81">
        <f t="shared" si="9"/>
        <v>500</v>
      </c>
      <c r="L31" s="81">
        <f t="shared" si="9"/>
        <v>500</v>
      </c>
      <c r="M31" s="81">
        <f t="shared" si="9"/>
        <v>500</v>
      </c>
      <c r="N31" s="81">
        <f t="shared" si="9"/>
        <v>500</v>
      </c>
      <c r="O31" s="81">
        <f t="shared" si="9"/>
        <v>500</v>
      </c>
      <c r="P31" s="82">
        <f t="shared" si="5"/>
        <v>6000</v>
      </c>
      <c r="Q31" s="22"/>
    </row>
    <row r="32" spans="1:17" ht="16.5" thickBot="1">
      <c r="A32" s="23"/>
      <c r="B32" s="137" t="s">
        <v>160</v>
      </c>
      <c r="C32" s="306"/>
      <c r="D32" s="81">
        <f>'Net Income'!E40/12</f>
        <v>5000</v>
      </c>
      <c r="E32" s="81">
        <f t="shared" si="3"/>
        <v>5000</v>
      </c>
      <c r="F32" s="81">
        <f aca="true" t="shared" si="10" ref="F32:O32">E32</f>
        <v>5000</v>
      </c>
      <c r="G32" s="81">
        <f t="shared" si="10"/>
        <v>5000</v>
      </c>
      <c r="H32" s="81">
        <f t="shared" si="10"/>
        <v>5000</v>
      </c>
      <c r="I32" s="81">
        <f t="shared" si="10"/>
        <v>5000</v>
      </c>
      <c r="J32" s="81">
        <f t="shared" si="10"/>
        <v>5000</v>
      </c>
      <c r="K32" s="81">
        <f t="shared" si="10"/>
        <v>5000</v>
      </c>
      <c r="L32" s="81">
        <f t="shared" si="10"/>
        <v>5000</v>
      </c>
      <c r="M32" s="81">
        <f t="shared" si="10"/>
        <v>5000</v>
      </c>
      <c r="N32" s="81">
        <f t="shared" si="10"/>
        <v>5000</v>
      </c>
      <c r="O32" s="81">
        <f t="shared" si="10"/>
        <v>5000</v>
      </c>
      <c r="P32" s="82">
        <f t="shared" si="5"/>
        <v>60000</v>
      </c>
      <c r="Q32" s="22"/>
    </row>
    <row r="33" spans="1:17" ht="16.5" thickBot="1">
      <c r="A33" s="23"/>
      <c r="B33" s="137" t="s">
        <v>97</v>
      </c>
      <c r="C33" s="306"/>
      <c r="D33" s="81">
        <f>'Net Income'!E64/12</f>
        <v>108</v>
      </c>
      <c r="E33" s="81">
        <f t="shared" si="3"/>
        <v>108</v>
      </c>
      <c r="F33" s="81">
        <f aca="true" t="shared" si="11" ref="F33:O33">E33</f>
        <v>108</v>
      </c>
      <c r="G33" s="81">
        <f t="shared" si="11"/>
        <v>108</v>
      </c>
      <c r="H33" s="81">
        <f t="shared" si="11"/>
        <v>108</v>
      </c>
      <c r="I33" s="81">
        <f t="shared" si="11"/>
        <v>108</v>
      </c>
      <c r="J33" s="81">
        <f t="shared" si="11"/>
        <v>108</v>
      </c>
      <c r="K33" s="81">
        <f t="shared" si="11"/>
        <v>108</v>
      </c>
      <c r="L33" s="81">
        <f t="shared" si="11"/>
        <v>108</v>
      </c>
      <c r="M33" s="81">
        <f t="shared" si="11"/>
        <v>108</v>
      </c>
      <c r="N33" s="81">
        <f t="shared" si="11"/>
        <v>108</v>
      </c>
      <c r="O33" s="81">
        <f t="shared" si="11"/>
        <v>108</v>
      </c>
      <c r="P33" s="82">
        <f t="shared" si="5"/>
        <v>1296</v>
      </c>
      <c r="Q33" s="22"/>
    </row>
    <row r="34" spans="1:17" ht="16.5" thickBot="1">
      <c r="A34" s="23"/>
      <c r="B34" s="139" t="s">
        <v>168</v>
      </c>
      <c r="C34" s="306"/>
      <c r="D34" s="81">
        <f>'Net Income'!E41/12</f>
        <v>0</v>
      </c>
      <c r="E34" s="81">
        <f t="shared" si="3"/>
        <v>0</v>
      </c>
      <c r="F34" s="81">
        <f aca="true" t="shared" si="12" ref="F34:O34">E34</f>
        <v>0</v>
      </c>
      <c r="G34" s="81">
        <f t="shared" si="12"/>
        <v>0</v>
      </c>
      <c r="H34" s="81">
        <f t="shared" si="12"/>
        <v>0</v>
      </c>
      <c r="I34" s="81">
        <f t="shared" si="12"/>
        <v>0</v>
      </c>
      <c r="J34" s="81">
        <f t="shared" si="12"/>
        <v>0</v>
      </c>
      <c r="K34" s="81">
        <f t="shared" si="12"/>
        <v>0</v>
      </c>
      <c r="L34" s="81">
        <f t="shared" si="12"/>
        <v>0</v>
      </c>
      <c r="M34" s="81">
        <f t="shared" si="12"/>
        <v>0</v>
      </c>
      <c r="N34" s="81">
        <f t="shared" si="12"/>
        <v>0</v>
      </c>
      <c r="O34" s="81">
        <f t="shared" si="12"/>
        <v>0</v>
      </c>
      <c r="P34" s="82">
        <f t="shared" si="5"/>
        <v>0</v>
      </c>
      <c r="Q34" s="22"/>
    </row>
    <row r="35" spans="1:17" ht="16.5" thickBot="1">
      <c r="A35" s="23"/>
      <c r="B35" s="137" t="s">
        <v>249</v>
      </c>
      <c r="C35" s="306"/>
      <c r="D35" s="81">
        <f>'Net Income'!E42/12</f>
        <v>83.33333333333333</v>
      </c>
      <c r="E35" s="81">
        <f t="shared" si="3"/>
        <v>83.33333333333333</v>
      </c>
      <c r="F35" s="81">
        <f aca="true" t="shared" si="13" ref="F35:O36">E35</f>
        <v>83.33333333333333</v>
      </c>
      <c r="G35" s="81">
        <f t="shared" si="13"/>
        <v>83.33333333333333</v>
      </c>
      <c r="H35" s="81">
        <f t="shared" si="13"/>
        <v>83.33333333333333</v>
      </c>
      <c r="I35" s="81">
        <f t="shared" si="13"/>
        <v>83.33333333333333</v>
      </c>
      <c r="J35" s="81">
        <f t="shared" si="13"/>
        <v>83.33333333333333</v>
      </c>
      <c r="K35" s="81">
        <f t="shared" si="13"/>
        <v>83.33333333333333</v>
      </c>
      <c r="L35" s="81">
        <f t="shared" si="13"/>
        <v>83.33333333333333</v>
      </c>
      <c r="M35" s="81">
        <f t="shared" si="13"/>
        <v>83.33333333333333</v>
      </c>
      <c r="N35" s="81">
        <f t="shared" si="13"/>
        <v>83.33333333333333</v>
      </c>
      <c r="O35" s="81">
        <f t="shared" si="13"/>
        <v>83.33333333333333</v>
      </c>
      <c r="P35" s="82">
        <f t="shared" si="5"/>
        <v>1000.0000000000001</v>
      </c>
      <c r="Q35" s="22"/>
    </row>
    <row r="36" spans="1:17" ht="16.5" thickBot="1">
      <c r="A36" s="23"/>
      <c r="B36" s="137" t="s">
        <v>130</v>
      </c>
      <c r="C36" s="306"/>
      <c r="D36" s="81">
        <f>'Net Income'!E43/12</f>
        <v>0</v>
      </c>
      <c r="E36" s="81">
        <f t="shared" si="3"/>
        <v>0</v>
      </c>
      <c r="F36" s="81">
        <f t="shared" si="13"/>
        <v>0</v>
      </c>
      <c r="G36" s="81">
        <f t="shared" si="13"/>
        <v>0</v>
      </c>
      <c r="H36" s="81">
        <f t="shared" si="13"/>
        <v>0</v>
      </c>
      <c r="I36" s="81">
        <f t="shared" si="13"/>
        <v>0</v>
      </c>
      <c r="J36" s="81">
        <f t="shared" si="13"/>
        <v>0</v>
      </c>
      <c r="K36" s="81">
        <f t="shared" si="13"/>
        <v>0</v>
      </c>
      <c r="L36" s="81">
        <f t="shared" si="13"/>
        <v>0</v>
      </c>
      <c r="M36" s="81">
        <f t="shared" si="13"/>
        <v>0</v>
      </c>
      <c r="N36" s="81">
        <f t="shared" si="13"/>
        <v>0</v>
      </c>
      <c r="O36" s="81">
        <f t="shared" si="13"/>
        <v>0</v>
      </c>
      <c r="P36" s="82">
        <f t="shared" si="5"/>
        <v>0</v>
      </c>
      <c r="Q36" s="22"/>
    </row>
    <row r="37" spans="1:17" ht="16.5" thickBot="1">
      <c r="A37" s="23"/>
      <c r="B37" s="137" t="s">
        <v>211</v>
      </c>
      <c r="C37" s="306"/>
      <c r="D37" s="81">
        <f>'Net Income'!E44/12</f>
        <v>0</v>
      </c>
      <c r="E37" s="81">
        <f t="shared" si="3"/>
        <v>0</v>
      </c>
      <c r="F37" s="81">
        <f aca="true" t="shared" si="14" ref="F37:O37">E37</f>
        <v>0</v>
      </c>
      <c r="G37" s="81">
        <f t="shared" si="14"/>
        <v>0</v>
      </c>
      <c r="H37" s="81">
        <f t="shared" si="14"/>
        <v>0</v>
      </c>
      <c r="I37" s="81">
        <f t="shared" si="14"/>
        <v>0</v>
      </c>
      <c r="J37" s="81">
        <f t="shared" si="14"/>
        <v>0</v>
      </c>
      <c r="K37" s="81">
        <f t="shared" si="14"/>
        <v>0</v>
      </c>
      <c r="L37" s="81">
        <f t="shared" si="14"/>
        <v>0</v>
      </c>
      <c r="M37" s="81">
        <f t="shared" si="14"/>
        <v>0</v>
      </c>
      <c r="N37" s="81">
        <f t="shared" si="14"/>
        <v>0</v>
      </c>
      <c r="O37" s="81">
        <f t="shared" si="14"/>
        <v>0</v>
      </c>
      <c r="P37" s="82">
        <f t="shared" si="5"/>
        <v>0</v>
      </c>
      <c r="Q37" s="22"/>
    </row>
    <row r="38" spans="1:17" ht="16.5" thickBot="1">
      <c r="A38" s="23"/>
      <c r="B38" s="139" t="s">
        <v>30</v>
      </c>
      <c r="C38" s="306"/>
      <c r="D38" s="81">
        <f>'Net Income'!E45/12</f>
        <v>625</v>
      </c>
      <c r="E38" s="81">
        <f t="shared" si="3"/>
        <v>625</v>
      </c>
      <c r="F38" s="81">
        <f aca="true" t="shared" si="15" ref="F38:O38">E38</f>
        <v>625</v>
      </c>
      <c r="G38" s="81">
        <f t="shared" si="15"/>
        <v>625</v>
      </c>
      <c r="H38" s="81">
        <f t="shared" si="15"/>
        <v>625</v>
      </c>
      <c r="I38" s="81">
        <f t="shared" si="15"/>
        <v>625</v>
      </c>
      <c r="J38" s="81">
        <f t="shared" si="15"/>
        <v>625</v>
      </c>
      <c r="K38" s="81">
        <f t="shared" si="15"/>
        <v>625</v>
      </c>
      <c r="L38" s="81">
        <f t="shared" si="15"/>
        <v>625</v>
      </c>
      <c r="M38" s="81">
        <f t="shared" si="15"/>
        <v>625</v>
      </c>
      <c r="N38" s="81">
        <f t="shared" si="15"/>
        <v>625</v>
      </c>
      <c r="O38" s="81">
        <f t="shared" si="15"/>
        <v>625</v>
      </c>
      <c r="P38" s="82">
        <f t="shared" si="5"/>
        <v>7500</v>
      </c>
      <c r="Q38" s="22"/>
    </row>
    <row r="39" spans="1:17" ht="16.5" thickBot="1">
      <c r="A39" s="23"/>
      <c r="B39" s="137" t="s">
        <v>175</v>
      </c>
      <c r="C39" s="306"/>
      <c r="D39" s="81">
        <f>'Net Income'!E46/12</f>
        <v>0</v>
      </c>
      <c r="E39" s="81">
        <f aca="true" t="shared" si="16" ref="E39:G41">D39</f>
        <v>0</v>
      </c>
      <c r="F39" s="81">
        <f t="shared" si="16"/>
        <v>0</v>
      </c>
      <c r="G39" s="81">
        <f t="shared" si="16"/>
        <v>0</v>
      </c>
      <c r="H39" s="81">
        <v>0</v>
      </c>
      <c r="I39" s="81">
        <v>0</v>
      </c>
      <c r="J39" s="81">
        <v>0</v>
      </c>
      <c r="K39" s="81">
        <v>0</v>
      </c>
      <c r="L39" s="81">
        <v>0</v>
      </c>
      <c r="M39" s="81">
        <v>0</v>
      </c>
      <c r="N39" s="81">
        <v>0</v>
      </c>
      <c r="O39" s="81">
        <v>0</v>
      </c>
      <c r="P39" s="82">
        <f t="shared" si="5"/>
        <v>0</v>
      </c>
      <c r="Q39" s="22"/>
    </row>
    <row r="40" spans="1:17" ht="16.5" thickBot="1">
      <c r="A40" s="23"/>
      <c r="B40" s="139" t="s">
        <v>121</v>
      </c>
      <c r="C40" s="306"/>
      <c r="D40" s="81">
        <f>'Net Income'!E47/12</f>
        <v>250</v>
      </c>
      <c r="E40" s="81">
        <f t="shared" si="16"/>
        <v>250</v>
      </c>
      <c r="F40" s="81">
        <f t="shared" si="16"/>
        <v>250</v>
      </c>
      <c r="G40" s="81">
        <f t="shared" si="16"/>
        <v>250</v>
      </c>
      <c r="H40" s="81">
        <f aca="true" t="shared" si="17" ref="H40:O41">G40</f>
        <v>250</v>
      </c>
      <c r="I40" s="81">
        <f t="shared" si="17"/>
        <v>250</v>
      </c>
      <c r="J40" s="81">
        <f t="shared" si="17"/>
        <v>250</v>
      </c>
      <c r="K40" s="81">
        <f t="shared" si="17"/>
        <v>250</v>
      </c>
      <c r="L40" s="81">
        <f t="shared" si="17"/>
        <v>250</v>
      </c>
      <c r="M40" s="81">
        <f t="shared" si="17"/>
        <v>250</v>
      </c>
      <c r="N40" s="81">
        <f t="shared" si="17"/>
        <v>250</v>
      </c>
      <c r="O40" s="81">
        <f t="shared" si="17"/>
        <v>250</v>
      </c>
      <c r="P40" s="82">
        <f t="shared" si="5"/>
        <v>3000</v>
      </c>
      <c r="Q40" s="22"/>
    </row>
    <row r="41" spans="1:17" ht="16.5" thickBot="1">
      <c r="A41" s="23"/>
      <c r="B41" s="137" t="s">
        <v>182</v>
      </c>
      <c r="C41" s="306"/>
      <c r="D41" s="81">
        <f>'Net Income'!E48/12</f>
        <v>208.33333333333334</v>
      </c>
      <c r="E41" s="81">
        <f>D41</f>
        <v>208.33333333333334</v>
      </c>
      <c r="F41" s="81">
        <f t="shared" si="16"/>
        <v>208.33333333333334</v>
      </c>
      <c r="G41" s="81">
        <f t="shared" si="16"/>
        <v>208.33333333333334</v>
      </c>
      <c r="H41" s="81">
        <f t="shared" si="17"/>
        <v>208.33333333333334</v>
      </c>
      <c r="I41" s="81">
        <f t="shared" si="17"/>
        <v>208.33333333333334</v>
      </c>
      <c r="J41" s="81">
        <f t="shared" si="17"/>
        <v>208.33333333333334</v>
      </c>
      <c r="K41" s="81">
        <f t="shared" si="17"/>
        <v>208.33333333333334</v>
      </c>
      <c r="L41" s="81">
        <f t="shared" si="17"/>
        <v>208.33333333333334</v>
      </c>
      <c r="M41" s="81">
        <f t="shared" si="17"/>
        <v>208.33333333333334</v>
      </c>
      <c r="N41" s="81">
        <f t="shared" si="17"/>
        <v>208.33333333333334</v>
      </c>
      <c r="O41" s="81">
        <f t="shared" si="17"/>
        <v>208.33333333333334</v>
      </c>
      <c r="P41" s="82">
        <f t="shared" si="5"/>
        <v>2500</v>
      </c>
      <c r="Q41" s="22"/>
    </row>
    <row r="42" spans="1:17" ht="16.5" thickBot="1">
      <c r="A42" s="23"/>
      <c r="B42" s="137" t="s">
        <v>36</v>
      </c>
      <c r="C42" s="306"/>
      <c r="D42" s="81">
        <f>'Net Income'!E49/12</f>
        <v>83.33333333333333</v>
      </c>
      <c r="E42" s="81">
        <v>0</v>
      </c>
      <c r="F42" s="81">
        <v>0</v>
      </c>
      <c r="G42" s="81">
        <v>0</v>
      </c>
      <c r="H42" s="81">
        <v>0</v>
      </c>
      <c r="I42" s="81">
        <v>0</v>
      </c>
      <c r="J42" s="81">
        <v>0</v>
      </c>
      <c r="K42" s="81">
        <v>0</v>
      </c>
      <c r="L42" s="81">
        <v>0</v>
      </c>
      <c r="M42" s="81">
        <v>0</v>
      </c>
      <c r="N42" s="81">
        <v>0</v>
      </c>
      <c r="O42" s="81">
        <v>0</v>
      </c>
      <c r="P42" s="82">
        <f t="shared" si="5"/>
        <v>83.33333333333333</v>
      </c>
      <c r="Q42" s="22"/>
    </row>
    <row r="43" spans="1:17" ht="16.5" thickBot="1">
      <c r="A43" s="23"/>
      <c r="B43" s="137" t="s">
        <v>259</v>
      </c>
      <c r="C43" s="306"/>
      <c r="D43" s="81">
        <f>'Net Income'!E53/12</f>
        <v>120</v>
      </c>
      <c r="E43" s="81">
        <f aca="true" t="shared" si="18" ref="E43:E50">D43</f>
        <v>120</v>
      </c>
      <c r="F43" s="81">
        <f aca="true" t="shared" si="19" ref="F43:O43">E43</f>
        <v>120</v>
      </c>
      <c r="G43" s="81">
        <f t="shared" si="19"/>
        <v>120</v>
      </c>
      <c r="H43" s="81">
        <f t="shared" si="19"/>
        <v>120</v>
      </c>
      <c r="I43" s="81">
        <f t="shared" si="19"/>
        <v>120</v>
      </c>
      <c r="J43" s="81">
        <f t="shared" si="19"/>
        <v>120</v>
      </c>
      <c r="K43" s="81">
        <f t="shared" si="19"/>
        <v>120</v>
      </c>
      <c r="L43" s="81">
        <f t="shared" si="19"/>
        <v>120</v>
      </c>
      <c r="M43" s="81">
        <f t="shared" si="19"/>
        <v>120</v>
      </c>
      <c r="N43" s="81">
        <f t="shared" si="19"/>
        <v>120</v>
      </c>
      <c r="O43" s="81">
        <f t="shared" si="19"/>
        <v>120</v>
      </c>
      <c r="P43" s="82">
        <f t="shared" si="5"/>
        <v>1440</v>
      </c>
      <c r="Q43" s="22"/>
    </row>
    <row r="44" spans="1:17" ht="16.5" thickBot="1">
      <c r="A44" s="23"/>
      <c r="B44" s="139" t="s">
        <v>315</v>
      </c>
      <c r="C44" s="306"/>
      <c r="D44" s="81">
        <f>'Net Income'!E54/12</f>
        <v>416.6666666666667</v>
      </c>
      <c r="E44" s="81">
        <f t="shared" si="18"/>
        <v>416.6666666666667</v>
      </c>
      <c r="F44" s="81">
        <f aca="true" t="shared" si="20" ref="F44:O44">E44</f>
        <v>416.6666666666667</v>
      </c>
      <c r="G44" s="81">
        <f t="shared" si="20"/>
        <v>416.6666666666667</v>
      </c>
      <c r="H44" s="81">
        <f t="shared" si="20"/>
        <v>416.6666666666667</v>
      </c>
      <c r="I44" s="81">
        <f t="shared" si="20"/>
        <v>416.6666666666667</v>
      </c>
      <c r="J44" s="81">
        <f t="shared" si="20"/>
        <v>416.6666666666667</v>
      </c>
      <c r="K44" s="81">
        <f t="shared" si="20"/>
        <v>416.6666666666667</v>
      </c>
      <c r="L44" s="81">
        <f t="shared" si="20"/>
        <v>416.6666666666667</v>
      </c>
      <c r="M44" s="81">
        <f t="shared" si="20"/>
        <v>416.6666666666667</v>
      </c>
      <c r="N44" s="81">
        <f t="shared" si="20"/>
        <v>416.6666666666667</v>
      </c>
      <c r="O44" s="81">
        <f t="shared" si="20"/>
        <v>416.6666666666667</v>
      </c>
      <c r="P44" s="82">
        <f t="shared" si="5"/>
        <v>5000</v>
      </c>
      <c r="Q44" s="22"/>
    </row>
    <row r="45" spans="1:17" ht="16.5" thickBot="1">
      <c r="A45" s="23"/>
      <c r="B45" s="137" t="s">
        <v>161</v>
      </c>
      <c r="C45" s="306"/>
      <c r="D45" s="81">
        <f>'Net Income'!E55/12</f>
        <v>20</v>
      </c>
      <c r="E45" s="81">
        <f t="shared" si="18"/>
        <v>20</v>
      </c>
      <c r="F45" s="81">
        <f aca="true" t="shared" si="21" ref="F45:O46">E45</f>
        <v>20</v>
      </c>
      <c r="G45" s="81">
        <f t="shared" si="21"/>
        <v>20</v>
      </c>
      <c r="H45" s="81">
        <f t="shared" si="21"/>
        <v>20</v>
      </c>
      <c r="I45" s="81">
        <f t="shared" si="21"/>
        <v>20</v>
      </c>
      <c r="J45" s="81">
        <f t="shared" si="21"/>
        <v>20</v>
      </c>
      <c r="K45" s="81">
        <f t="shared" si="21"/>
        <v>20</v>
      </c>
      <c r="L45" s="81">
        <f t="shared" si="21"/>
        <v>20</v>
      </c>
      <c r="M45" s="81">
        <f t="shared" si="21"/>
        <v>20</v>
      </c>
      <c r="N45" s="81">
        <f t="shared" si="21"/>
        <v>20</v>
      </c>
      <c r="O45" s="81">
        <f t="shared" si="21"/>
        <v>20</v>
      </c>
      <c r="P45" s="82">
        <f t="shared" si="5"/>
        <v>240</v>
      </c>
      <c r="Q45" s="22"/>
    </row>
    <row r="46" spans="1:17" ht="16.5" thickBot="1">
      <c r="A46" s="23"/>
      <c r="B46" s="139" t="s">
        <v>78</v>
      </c>
      <c r="C46" s="308"/>
      <c r="D46" s="81">
        <f>'Net Income'!E56/12</f>
        <v>250</v>
      </c>
      <c r="E46" s="81">
        <f t="shared" si="18"/>
        <v>250</v>
      </c>
      <c r="F46" s="81">
        <f t="shared" si="21"/>
        <v>250</v>
      </c>
      <c r="G46" s="81">
        <f t="shared" si="21"/>
        <v>250</v>
      </c>
      <c r="H46" s="81">
        <f t="shared" si="21"/>
        <v>250</v>
      </c>
      <c r="I46" s="81">
        <f t="shared" si="21"/>
        <v>250</v>
      </c>
      <c r="J46" s="81">
        <f t="shared" si="21"/>
        <v>250</v>
      </c>
      <c r="K46" s="81">
        <f t="shared" si="21"/>
        <v>250</v>
      </c>
      <c r="L46" s="81">
        <f t="shared" si="21"/>
        <v>250</v>
      </c>
      <c r="M46" s="81">
        <f t="shared" si="21"/>
        <v>250</v>
      </c>
      <c r="N46" s="81">
        <f t="shared" si="21"/>
        <v>250</v>
      </c>
      <c r="O46" s="81">
        <f t="shared" si="21"/>
        <v>250</v>
      </c>
      <c r="P46" s="82">
        <f t="shared" si="5"/>
        <v>3000</v>
      </c>
      <c r="Q46" s="22"/>
    </row>
    <row r="47" spans="1:17" ht="16.5" thickBot="1">
      <c r="A47" s="23"/>
      <c r="B47" s="139" t="s">
        <v>181</v>
      </c>
      <c r="C47" s="305" t="s">
        <v>26</v>
      </c>
      <c r="D47" s="81">
        <f>'Net Income'!E57/12</f>
        <v>41.666666666666664</v>
      </c>
      <c r="E47" s="81">
        <f t="shared" si="18"/>
        <v>41.666666666666664</v>
      </c>
      <c r="F47" s="81">
        <f aca="true" t="shared" si="22" ref="F47:O47">E47</f>
        <v>41.666666666666664</v>
      </c>
      <c r="G47" s="81">
        <f t="shared" si="22"/>
        <v>41.666666666666664</v>
      </c>
      <c r="H47" s="81">
        <f t="shared" si="22"/>
        <v>41.666666666666664</v>
      </c>
      <c r="I47" s="81">
        <f t="shared" si="22"/>
        <v>41.666666666666664</v>
      </c>
      <c r="J47" s="81">
        <f t="shared" si="22"/>
        <v>41.666666666666664</v>
      </c>
      <c r="K47" s="81">
        <f t="shared" si="22"/>
        <v>41.666666666666664</v>
      </c>
      <c r="L47" s="81">
        <f t="shared" si="22"/>
        <v>41.666666666666664</v>
      </c>
      <c r="M47" s="81">
        <f t="shared" si="22"/>
        <v>41.666666666666664</v>
      </c>
      <c r="N47" s="81">
        <f t="shared" si="22"/>
        <v>41.666666666666664</v>
      </c>
      <c r="O47" s="81">
        <f t="shared" si="22"/>
        <v>41.666666666666664</v>
      </c>
      <c r="P47" s="82">
        <f t="shared" si="5"/>
        <v>500.00000000000006</v>
      </c>
      <c r="Q47" s="22"/>
    </row>
    <row r="48" spans="1:17" ht="16.5" thickBot="1">
      <c r="A48" s="23"/>
      <c r="B48" s="137" t="s">
        <v>96</v>
      </c>
      <c r="C48" s="306"/>
      <c r="D48" s="81">
        <f>'Net Income'!E58/12</f>
        <v>0</v>
      </c>
      <c r="E48" s="81">
        <f t="shared" si="18"/>
        <v>0</v>
      </c>
      <c r="F48" s="81">
        <f aca="true" t="shared" si="23" ref="F48:O48">E48</f>
        <v>0</v>
      </c>
      <c r="G48" s="81">
        <f t="shared" si="23"/>
        <v>0</v>
      </c>
      <c r="H48" s="81">
        <f t="shared" si="23"/>
        <v>0</v>
      </c>
      <c r="I48" s="81">
        <f t="shared" si="23"/>
        <v>0</v>
      </c>
      <c r="J48" s="81">
        <f t="shared" si="23"/>
        <v>0</v>
      </c>
      <c r="K48" s="81">
        <f t="shared" si="23"/>
        <v>0</v>
      </c>
      <c r="L48" s="81">
        <f t="shared" si="23"/>
        <v>0</v>
      </c>
      <c r="M48" s="81">
        <f t="shared" si="23"/>
        <v>0</v>
      </c>
      <c r="N48" s="81">
        <f t="shared" si="23"/>
        <v>0</v>
      </c>
      <c r="O48" s="81">
        <f t="shared" si="23"/>
        <v>0</v>
      </c>
      <c r="P48" s="82">
        <f t="shared" si="5"/>
        <v>0</v>
      </c>
      <c r="Q48" s="22"/>
    </row>
    <row r="49" spans="1:17" ht="16.5" thickBot="1">
      <c r="A49" s="23"/>
      <c r="B49" s="137" t="s">
        <v>171</v>
      </c>
      <c r="C49" s="306"/>
      <c r="D49" s="81">
        <f>'Net Income'!E59/12</f>
        <v>0</v>
      </c>
      <c r="E49" s="81">
        <f t="shared" si="18"/>
        <v>0</v>
      </c>
      <c r="F49" s="81">
        <f aca="true" t="shared" si="24" ref="F49:O49">E49</f>
        <v>0</v>
      </c>
      <c r="G49" s="81">
        <f t="shared" si="24"/>
        <v>0</v>
      </c>
      <c r="H49" s="81">
        <f t="shared" si="24"/>
        <v>0</v>
      </c>
      <c r="I49" s="81">
        <f t="shared" si="24"/>
        <v>0</v>
      </c>
      <c r="J49" s="81">
        <f t="shared" si="24"/>
        <v>0</v>
      </c>
      <c r="K49" s="81">
        <f t="shared" si="24"/>
        <v>0</v>
      </c>
      <c r="L49" s="81">
        <f t="shared" si="24"/>
        <v>0</v>
      </c>
      <c r="M49" s="81">
        <f t="shared" si="24"/>
        <v>0</v>
      </c>
      <c r="N49" s="81">
        <f t="shared" si="24"/>
        <v>0</v>
      </c>
      <c r="O49" s="81">
        <f t="shared" si="24"/>
        <v>0</v>
      </c>
      <c r="P49" s="82">
        <f t="shared" si="5"/>
        <v>0</v>
      </c>
      <c r="Q49" s="22"/>
    </row>
    <row r="50" spans="1:17" ht="16.5" thickBot="1">
      <c r="A50" s="23"/>
      <c r="B50" s="137" t="s">
        <v>265</v>
      </c>
      <c r="C50" s="306"/>
      <c r="D50" s="81">
        <f>'Net Income'!E59/12</f>
        <v>0</v>
      </c>
      <c r="E50" s="81">
        <f t="shared" si="18"/>
        <v>0</v>
      </c>
      <c r="F50" s="81">
        <f aca="true" t="shared" si="25" ref="F50:N50">E50</f>
        <v>0</v>
      </c>
      <c r="G50" s="81">
        <f t="shared" si="25"/>
        <v>0</v>
      </c>
      <c r="H50" s="81">
        <f t="shared" si="25"/>
        <v>0</v>
      </c>
      <c r="I50" s="81">
        <f t="shared" si="25"/>
        <v>0</v>
      </c>
      <c r="J50" s="81">
        <f t="shared" si="25"/>
        <v>0</v>
      </c>
      <c r="K50" s="81">
        <f t="shared" si="25"/>
        <v>0</v>
      </c>
      <c r="L50" s="81">
        <f t="shared" si="25"/>
        <v>0</v>
      </c>
      <c r="M50" s="81">
        <f t="shared" si="25"/>
        <v>0</v>
      </c>
      <c r="N50" s="81">
        <f t="shared" si="25"/>
        <v>0</v>
      </c>
      <c r="O50" s="81">
        <f>Financing!F26</f>
        <v>28836.305958955803</v>
      </c>
      <c r="P50" s="82">
        <f t="shared" si="5"/>
        <v>28836.305958955803</v>
      </c>
      <c r="Q50" s="22"/>
    </row>
    <row r="51" spans="1:17" ht="16.5" thickBot="1">
      <c r="A51" s="23"/>
      <c r="B51" s="137" t="s">
        <v>266</v>
      </c>
      <c r="C51" s="306"/>
      <c r="D51" s="81">
        <v>0</v>
      </c>
      <c r="E51" s="81">
        <v>0</v>
      </c>
      <c r="F51" s="81">
        <v>0</v>
      </c>
      <c r="G51" s="81">
        <v>0</v>
      </c>
      <c r="H51" s="81">
        <v>0</v>
      </c>
      <c r="I51" s="81">
        <v>0</v>
      </c>
      <c r="J51" s="81">
        <v>0</v>
      </c>
      <c r="K51" s="81">
        <v>0</v>
      </c>
      <c r="L51" s="81">
        <v>0</v>
      </c>
      <c r="M51" s="81">
        <v>0</v>
      </c>
      <c r="N51" s="81">
        <v>0</v>
      </c>
      <c r="O51" s="81">
        <f>Financing!F35</f>
        <v>27052.21723857816</v>
      </c>
      <c r="P51" s="82">
        <f t="shared" si="5"/>
        <v>27052.21723857816</v>
      </c>
      <c r="Q51" s="22"/>
    </row>
    <row r="52" spans="1:17" ht="16.5" thickBot="1">
      <c r="A52" s="23"/>
      <c r="B52" s="137" t="s">
        <v>35</v>
      </c>
      <c r="C52" s="306"/>
      <c r="D52" s="81">
        <f>'Net Income'!E63/12</f>
        <v>0</v>
      </c>
      <c r="E52" s="81">
        <f>D52</f>
        <v>0</v>
      </c>
      <c r="F52" s="81">
        <f aca="true" t="shared" si="26" ref="F52:O52">E52</f>
        <v>0</v>
      </c>
      <c r="G52" s="81">
        <f t="shared" si="26"/>
        <v>0</v>
      </c>
      <c r="H52" s="81">
        <f t="shared" si="26"/>
        <v>0</v>
      </c>
      <c r="I52" s="81">
        <f t="shared" si="26"/>
        <v>0</v>
      </c>
      <c r="J52" s="81">
        <f t="shared" si="26"/>
        <v>0</v>
      </c>
      <c r="K52" s="81">
        <f t="shared" si="26"/>
        <v>0</v>
      </c>
      <c r="L52" s="81">
        <f t="shared" si="26"/>
        <v>0</v>
      </c>
      <c r="M52" s="81">
        <f t="shared" si="26"/>
        <v>0</v>
      </c>
      <c r="N52" s="81">
        <f t="shared" si="26"/>
        <v>0</v>
      </c>
      <c r="O52" s="81">
        <f t="shared" si="26"/>
        <v>0</v>
      </c>
      <c r="P52" s="82">
        <f t="shared" si="5"/>
        <v>0</v>
      </c>
      <c r="Q52" s="22"/>
    </row>
    <row r="53" spans="1:17" ht="16.5" thickBot="1">
      <c r="A53" s="23"/>
      <c r="B53" s="139" t="s">
        <v>208</v>
      </c>
      <c r="C53" s="306"/>
      <c r="D53" s="81">
        <f>'Net Income'!E65/12</f>
        <v>200</v>
      </c>
      <c r="E53" s="81">
        <f>D53</f>
        <v>200</v>
      </c>
      <c r="F53" s="81">
        <f aca="true" t="shared" si="27" ref="F53:O53">E53</f>
        <v>200</v>
      </c>
      <c r="G53" s="81">
        <f t="shared" si="27"/>
        <v>200</v>
      </c>
      <c r="H53" s="81">
        <f t="shared" si="27"/>
        <v>200</v>
      </c>
      <c r="I53" s="81">
        <f t="shared" si="27"/>
        <v>200</v>
      </c>
      <c r="J53" s="81">
        <f t="shared" si="27"/>
        <v>200</v>
      </c>
      <c r="K53" s="81">
        <f t="shared" si="27"/>
        <v>200</v>
      </c>
      <c r="L53" s="81">
        <f t="shared" si="27"/>
        <v>200</v>
      </c>
      <c r="M53" s="81">
        <f t="shared" si="27"/>
        <v>200</v>
      </c>
      <c r="N53" s="81">
        <f t="shared" si="27"/>
        <v>200</v>
      </c>
      <c r="O53" s="81">
        <f t="shared" si="27"/>
        <v>200</v>
      </c>
      <c r="P53" s="82">
        <f t="shared" si="5"/>
        <v>2400</v>
      </c>
      <c r="Q53" s="22"/>
    </row>
    <row r="54" spans="1:17" ht="16.5" thickBot="1">
      <c r="A54" s="23"/>
      <c r="B54" s="137" t="s">
        <v>210</v>
      </c>
      <c r="C54" s="306"/>
      <c r="D54" s="81">
        <f>'Net Income'!E66/12</f>
        <v>833.3333333333334</v>
      </c>
      <c r="E54" s="81">
        <f>D54</f>
        <v>833.3333333333334</v>
      </c>
      <c r="F54" s="81">
        <f aca="true" t="shared" si="28" ref="F54:O54">E54</f>
        <v>833.3333333333334</v>
      </c>
      <c r="G54" s="81">
        <f t="shared" si="28"/>
        <v>833.3333333333334</v>
      </c>
      <c r="H54" s="81">
        <f t="shared" si="28"/>
        <v>833.3333333333334</v>
      </c>
      <c r="I54" s="81">
        <f t="shared" si="28"/>
        <v>833.3333333333334</v>
      </c>
      <c r="J54" s="81">
        <f t="shared" si="28"/>
        <v>833.3333333333334</v>
      </c>
      <c r="K54" s="81">
        <f t="shared" si="28"/>
        <v>833.3333333333334</v>
      </c>
      <c r="L54" s="81">
        <f t="shared" si="28"/>
        <v>833.3333333333334</v>
      </c>
      <c r="M54" s="81">
        <f t="shared" si="28"/>
        <v>833.3333333333334</v>
      </c>
      <c r="N54" s="81">
        <f t="shared" si="28"/>
        <v>833.3333333333334</v>
      </c>
      <c r="O54" s="81">
        <f t="shared" si="28"/>
        <v>833.3333333333334</v>
      </c>
      <c r="P54" s="82">
        <f t="shared" si="5"/>
        <v>10000</v>
      </c>
      <c r="Q54" s="22"/>
    </row>
    <row r="55" spans="1:17" ht="16.5" thickBot="1">
      <c r="A55" s="23"/>
      <c r="B55" s="137" t="s">
        <v>264</v>
      </c>
      <c r="C55" s="306"/>
      <c r="D55" s="81">
        <f>'Net Income'!E67/12</f>
        <v>166.66666666666666</v>
      </c>
      <c r="E55" s="81">
        <f aca="true" t="shared" si="29" ref="E55:O55">D55</f>
        <v>166.66666666666666</v>
      </c>
      <c r="F55" s="81">
        <f t="shared" si="29"/>
        <v>166.66666666666666</v>
      </c>
      <c r="G55" s="81">
        <f t="shared" si="29"/>
        <v>166.66666666666666</v>
      </c>
      <c r="H55" s="81">
        <f t="shared" si="29"/>
        <v>166.66666666666666</v>
      </c>
      <c r="I55" s="81">
        <f t="shared" si="29"/>
        <v>166.66666666666666</v>
      </c>
      <c r="J55" s="81">
        <f t="shared" si="29"/>
        <v>166.66666666666666</v>
      </c>
      <c r="K55" s="81">
        <f t="shared" si="29"/>
        <v>166.66666666666666</v>
      </c>
      <c r="L55" s="81">
        <f t="shared" si="29"/>
        <v>166.66666666666666</v>
      </c>
      <c r="M55" s="81">
        <f t="shared" si="29"/>
        <v>166.66666666666666</v>
      </c>
      <c r="N55" s="81">
        <f t="shared" si="29"/>
        <v>166.66666666666666</v>
      </c>
      <c r="O55" s="81">
        <f t="shared" si="29"/>
        <v>166.66666666666666</v>
      </c>
      <c r="P55" s="82">
        <f t="shared" si="5"/>
        <v>2000.0000000000002</v>
      </c>
      <c r="Q55" s="22"/>
    </row>
    <row r="56" spans="1:17" ht="16.5" thickBot="1">
      <c r="A56" s="23"/>
      <c r="B56" s="137" t="s">
        <v>209</v>
      </c>
      <c r="C56" s="308"/>
      <c r="D56" s="81">
        <f>'Net Income'!E68/12</f>
        <v>0</v>
      </c>
      <c r="E56" s="81">
        <f aca="true" t="shared" si="30" ref="E56:O56">D56</f>
        <v>0</v>
      </c>
      <c r="F56" s="81">
        <f t="shared" si="30"/>
        <v>0</v>
      </c>
      <c r="G56" s="81">
        <f t="shared" si="30"/>
        <v>0</v>
      </c>
      <c r="H56" s="81">
        <f t="shared" si="30"/>
        <v>0</v>
      </c>
      <c r="I56" s="81">
        <f t="shared" si="30"/>
        <v>0</v>
      </c>
      <c r="J56" s="81">
        <f t="shared" si="30"/>
        <v>0</v>
      </c>
      <c r="K56" s="81">
        <f t="shared" si="30"/>
        <v>0</v>
      </c>
      <c r="L56" s="81">
        <f t="shared" si="30"/>
        <v>0</v>
      </c>
      <c r="M56" s="81">
        <f t="shared" si="30"/>
        <v>0</v>
      </c>
      <c r="N56" s="81">
        <f t="shared" si="30"/>
        <v>0</v>
      </c>
      <c r="O56" s="81">
        <f t="shared" si="30"/>
        <v>0</v>
      </c>
      <c r="P56" s="82">
        <f t="shared" si="5"/>
        <v>0</v>
      </c>
      <c r="Q56" s="22"/>
    </row>
    <row r="57" spans="1:17" ht="16.5" thickBot="1">
      <c r="A57" s="23"/>
      <c r="B57" s="136" t="s">
        <v>15</v>
      </c>
      <c r="C57" s="249"/>
      <c r="D57" s="83">
        <f aca="true" t="shared" si="31" ref="D57:P57">SUM(D26:D51)</f>
        <v>8664.666666666666</v>
      </c>
      <c r="E57" s="83">
        <f t="shared" si="31"/>
        <v>8581.333333333332</v>
      </c>
      <c r="F57" s="83">
        <f t="shared" si="31"/>
        <v>8581.333333333332</v>
      </c>
      <c r="G57" s="83">
        <f t="shared" si="31"/>
        <v>8581.333333333332</v>
      </c>
      <c r="H57" s="83">
        <f t="shared" si="31"/>
        <v>8581.333333333332</v>
      </c>
      <c r="I57" s="83">
        <f t="shared" si="31"/>
        <v>8581.333333333332</v>
      </c>
      <c r="J57" s="83">
        <f t="shared" si="31"/>
        <v>8581.333333333332</v>
      </c>
      <c r="K57" s="83">
        <f t="shared" si="31"/>
        <v>8581.333333333332</v>
      </c>
      <c r="L57" s="83">
        <f t="shared" si="31"/>
        <v>8581.333333333332</v>
      </c>
      <c r="M57" s="83">
        <f t="shared" si="31"/>
        <v>8581.333333333332</v>
      </c>
      <c r="N57" s="83">
        <f t="shared" si="31"/>
        <v>8581.333333333332</v>
      </c>
      <c r="O57" s="83">
        <f t="shared" si="31"/>
        <v>64469.8565308673</v>
      </c>
      <c r="P57" s="84">
        <f t="shared" si="31"/>
        <v>158947.85653086728</v>
      </c>
      <c r="Q57" s="22"/>
    </row>
    <row r="58" spans="1:17" ht="16.5" thickBot="1">
      <c r="A58" s="23"/>
      <c r="B58" s="25"/>
      <c r="C58" s="25"/>
      <c r="D58" s="25"/>
      <c r="E58" s="25"/>
      <c r="F58" s="25"/>
      <c r="G58" s="25"/>
      <c r="H58" s="25"/>
      <c r="I58" s="25"/>
      <c r="J58" s="25"/>
      <c r="K58" s="25"/>
      <c r="L58" s="25"/>
      <c r="M58" s="25"/>
      <c r="N58" s="25"/>
      <c r="O58" s="25"/>
      <c r="P58" s="25"/>
      <c r="Q58" s="22"/>
    </row>
    <row r="59" spans="1:17" ht="16.5" thickBot="1">
      <c r="A59" s="23"/>
      <c r="B59" s="290" t="s">
        <v>111</v>
      </c>
      <c r="C59" s="291"/>
      <c r="D59" s="128"/>
      <c r="E59" s="128"/>
      <c r="F59" s="128"/>
      <c r="G59" s="128"/>
      <c r="H59" s="128"/>
      <c r="I59" s="128"/>
      <c r="J59" s="128"/>
      <c r="K59" s="128"/>
      <c r="L59" s="128"/>
      <c r="M59" s="128"/>
      <c r="N59" s="128"/>
      <c r="O59" s="128"/>
      <c r="P59" s="129"/>
      <c r="Q59" s="22"/>
    </row>
    <row r="60" spans="1:17" ht="16.5" thickBot="1">
      <c r="A60" s="23"/>
      <c r="B60" s="136"/>
      <c r="C60" s="249"/>
      <c r="D60" s="81"/>
      <c r="E60" s="81"/>
      <c r="F60" s="81"/>
      <c r="G60" s="81"/>
      <c r="H60" s="81"/>
      <c r="I60" s="81"/>
      <c r="J60" s="81"/>
      <c r="K60" s="81"/>
      <c r="L60" s="81"/>
      <c r="M60" s="81"/>
      <c r="N60" s="81"/>
      <c r="O60" s="81"/>
      <c r="P60" s="82"/>
      <c r="Q60" s="22"/>
    </row>
    <row r="61" spans="1:17" ht="16.5" thickBot="1">
      <c r="A61" s="23"/>
      <c r="B61" s="137" t="s">
        <v>255</v>
      </c>
      <c r="C61" s="345" t="s">
        <v>262</v>
      </c>
      <c r="D61" s="81">
        <f>Startup!D12</f>
        <v>10000</v>
      </c>
      <c r="E61" s="81">
        <v>0</v>
      </c>
      <c r="F61" s="81">
        <v>0</v>
      </c>
      <c r="G61" s="81">
        <v>0</v>
      </c>
      <c r="H61" s="81">
        <v>0</v>
      </c>
      <c r="I61" s="81">
        <v>0</v>
      </c>
      <c r="J61" s="81">
        <v>0</v>
      </c>
      <c r="K61" s="81">
        <v>0</v>
      </c>
      <c r="L61" s="81">
        <v>0</v>
      </c>
      <c r="M61" s="81">
        <v>0</v>
      </c>
      <c r="N61" s="81">
        <v>0</v>
      </c>
      <c r="O61" s="81">
        <v>0</v>
      </c>
      <c r="P61" s="82">
        <f>SUM(D61:O61)</f>
        <v>10000</v>
      </c>
      <c r="Q61" s="22"/>
    </row>
    <row r="62" spans="1:17" ht="16.5" thickBot="1">
      <c r="A62" s="23"/>
      <c r="B62" s="137" t="s">
        <v>129</v>
      </c>
      <c r="C62" s="346"/>
      <c r="D62" s="81">
        <f>SUM(Startup!D15:D16)</f>
        <v>145000</v>
      </c>
      <c r="E62" s="81">
        <v>0</v>
      </c>
      <c r="F62" s="81">
        <v>0</v>
      </c>
      <c r="G62" s="81">
        <v>0</v>
      </c>
      <c r="H62" s="81">
        <v>0</v>
      </c>
      <c r="I62" s="81">
        <v>0</v>
      </c>
      <c r="J62" s="81">
        <v>0</v>
      </c>
      <c r="K62" s="81">
        <v>0</v>
      </c>
      <c r="L62" s="81">
        <v>0</v>
      </c>
      <c r="M62" s="81">
        <v>0</v>
      </c>
      <c r="N62" s="81">
        <v>0</v>
      </c>
      <c r="O62" s="81">
        <v>0</v>
      </c>
      <c r="P62" s="82">
        <f>SUM(D62:O62)</f>
        <v>145000</v>
      </c>
      <c r="Q62" s="22"/>
    </row>
    <row r="63" spans="1:17" ht="16.5" thickBot="1">
      <c r="A63" s="23"/>
      <c r="B63" s="137" t="s">
        <v>232</v>
      </c>
      <c r="C63" s="347"/>
      <c r="D63" s="81">
        <f>Startup!D13</f>
        <v>4000</v>
      </c>
      <c r="E63" s="81">
        <v>0</v>
      </c>
      <c r="F63" s="81">
        <v>0</v>
      </c>
      <c r="G63" s="81">
        <v>0</v>
      </c>
      <c r="H63" s="81">
        <v>0</v>
      </c>
      <c r="I63" s="81">
        <v>0</v>
      </c>
      <c r="J63" s="81">
        <v>0</v>
      </c>
      <c r="K63" s="81">
        <v>0</v>
      </c>
      <c r="L63" s="81">
        <v>0</v>
      </c>
      <c r="M63" s="81">
        <v>0</v>
      </c>
      <c r="N63" s="81">
        <v>0</v>
      </c>
      <c r="O63" s="81">
        <v>0</v>
      </c>
      <c r="P63" s="82">
        <f>SUM(D63:O63)</f>
        <v>4000</v>
      </c>
      <c r="Q63" s="22"/>
    </row>
    <row r="64" spans="1:17" ht="16.5" thickBot="1">
      <c r="A64" s="23"/>
      <c r="B64" s="137"/>
      <c r="C64" s="250"/>
      <c r="D64" s="81"/>
      <c r="E64" s="81"/>
      <c r="F64" s="81"/>
      <c r="G64" s="81"/>
      <c r="H64" s="81"/>
      <c r="I64" s="81"/>
      <c r="J64" s="81"/>
      <c r="K64" s="81"/>
      <c r="L64" s="81"/>
      <c r="M64" s="81"/>
      <c r="N64" s="81"/>
      <c r="O64" s="81"/>
      <c r="P64" s="82"/>
      <c r="Q64" s="22"/>
    </row>
    <row r="65" spans="1:17" ht="16.5" thickBot="1">
      <c r="A65" s="23"/>
      <c r="B65" s="136" t="s">
        <v>57</v>
      </c>
      <c r="C65" s="249"/>
      <c r="D65" s="83">
        <f>SUM(D61:D62)+SUM(D63:D63)</f>
        <v>159000</v>
      </c>
      <c r="E65" s="83">
        <f aca="true" t="shared" si="32" ref="E65:O65">SUM(E61:E62)</f>
        <v>0</v>
      </c>
      <c r="F65" s="83">
        <f t="shared" si="32"/>
        <v>0</v>
      </c>
      <c r="G65" s="83">
        <f t="shared" si="32"/>
        <v>0</v>
      </c>
      <c r="H65" s="83">
        <f t="shared" si="32"/>
        <v>0</v>
      </c>
      <c r="I65" s="83">
        <f t="shared" si="32"/>
        <v>0</v>
      </c>
      <c r="J65" s="83">
        <f t="shared" si="32"/>
        <v>0</v>
      </c>
      <c r="K65" s="83">
        <f t="shared" si="32"/>
        <v>0</v>
      </c>
      <c r="L65" s="83">
        <f t="shared" si="32"/>
        <v>0</v>
      </c>
      <c r="M65" s="83">
        <f t="shared" si="32"/>
        <v>0</v>
      </c>
      <c r="N65" s="83">
        <f t="shared" si="32"/>
        <v>0</v>
      </c>
      <c r="O65" s="83">
        <f t="shared" si="32"/>
        <v>0</v>
      </c>
      <c r="P65" s="84">
        <f>SUM(P61:P62)+SUM(P63:P63)</f>
        <v>159000</v>
      </c>
      <c r="Q65" s="22"/>
    </row>
    <row r="66" spans="1:17" ht="16.5" thickBot="1">
      <c r="A66" s="23"/>
      <c r="B66" s="137"/>
      <c r="C66" s="250"/>
      <c r="D66" s="81"/>
      <c r="E66" s="81"/>
      <c r="F66" s="81"/>
      <c r="G66" s="81"/>
      <c r="H66" s="81"/>
      <c r="I66" s="81"/>
      <c r="J66" s="81"/>
      <c r="K66" s="81"/>
      <c r="L66" s="81"/>
      <c r="M66" s="81"/>
      <c r="N66" s="81"/>
      <c r="O66" s="81"/>
      <c r="P66" s="82"/>
      <c r="Q66" s="22"/>
    </row>
    <row r="67" spans="1:19" s="3" customFormat="1" ht="16.5" thickBot="1">
      <c r="A67" s="116"/>
      <c r="B67" s="135" t="s">
        <v>186</v>
      </c>
      <c r="C67" s="252"/>
      <c r="D67" s="126">
        <f aca="true" t="shared" si="33" ref="D67:P67">D57+D65</f>
        <v>167664.66666666666</v>
      </c>
      <c r="E67" s="126">
        <f t="shared" si="33"/>
        <v>8581.333333333332</v>
      </c>
      <c r="F67" s="126">
        <f t="shared" si="33"/>
        <v>8581.333333333332</v>
      </c>
      <c r="G67" s="126">
        <f t="shared" si="33"/>
        <v>8581.333333333332</v>
      </c>
      <c r="H67" s="126">
        <f t="shared" si="33"/>
        <v>8581.333333333332</v>
      </c>
      <c r="I67" s="126">
        <f t="shared" si="33"/>
        <v>8581.333333333332</v>
      </c>
      <c r="J67" s="126">
        <f t="shared" si="33"/>
        <v>8581.333333333332</v>
      </c>
      <c r="K67" s="126">
        <f t="shared" si="33"/>
        <v>8581.333333333332</v>
      </c>
      <c r="L67" s="126">
        <f t="shared" si="33"/>
        <v>8581.333333333332</v>
      </c>
      <c r="M67" s="126">
        <f t="shared" si="33"/>
        <v>8581.333333333332</v>
      </c>
      <c r="N67" s="126">
        <f t="shared" si="33"/>
        <v>8581.333333333332</v>
      </c>
      <c r="O67" s="126">
        <f t="shared" si="33"/>
        <v>64469.8565308673</v>
      </c>
      <c r="P67" s="127">
        <f t="shared" si="33"/>
        <v>317947.8565308673</v>
      </c>
      <c r="Q67" s="2"/>
      <c r="R67" s="181"/>
      <c r="S67" s="181"/>
    </row>
    <row r="68" spans="1:16" ht="16.5" thickBot="1">
      <c r="A68" s="25"/>
      <c r="B68" s="141"/>
      <c r="C68" s="141"/>
      <c r="D68" s="123"/>
      <c r="E68" s="123"/>
      <c r="F68" s="123"/>
      <c r="G68" s="123"/>
      <c r="H68" s="123"/>
      <c r="I68" s="123"/>
      <c r="J68" s="123"/>
      <c r="K68" s="123"/>
      <c r="L68" s="123"/>
      <c r="M68" s="123"/>
      <c r="N68" s="123"/>
      <c r="O68" s="123"/>
      <c r="P68" s="123"/>
    </row>
    <row r="69" spans="1:17" ht="16.5" thickBot="1">
      <c r="A69" s="23"/>
      <c r="B69" s="138" t="s">
        <v>187</v>
      </c>
      <c r="C69" s="287"/>
      <c r="D69" s="128">
        <f>D21</f>
        <v>451749.5</v>
      </c>
      <c r="E69" s="128">
        <f aca="true" t="shared" si="34" ref="E69:O69">D70</f>
        <v>735834.3333333334</v>
      </c>
      <c r="F69" s="128">
        <f t="shared" si="34"/>
        <v>727253</v>
      </c>
      <c r="G69" s="128">
        <f t="shared" si="34"/>
        <v>718671.6666666666</v>
      </c>
      <c r="H69" s="128">
        <f t="shared" si="34"/>
        <v>710090.3333333333</v>
      </c>
      <c r="I69" s="128">
        <f t="shared" si="34"/>
        <v>701508.9999999999</v>
      </c>
      <c r="J69" s="128">
        <f t="shared" si="34"/>
        <v>692927.6666666665</v>
      </c>
      <c r="K69" s="128">
        <f t="shared" si="34"/>
        <v>684346.3333333331</v>
      </c>
      <c r="L69" s="128">
        <f t="shared" si="34"/>
        <v>675764.9999999998</v>
      </c>
      <c r="M69" s="128">
        <f t="shared" si="34"/>
        <v>667183.6666666664</v>
      </c>
      <c r="N69" s="128">
        <f t="shared" si="34"/>
        <v>658602.333333333</v>
      </c>
      <c r="O69" s="128">
        <f t="shared" si="34"/>
        <v>650020.9999999997</v>
      </c>
      <c r="P69" s="129" t="s">
        <v>156</v>
      </c>
      <c r="Q69" s="22"/>
    </row>
    <row r="70" spans="1:17" ht="16.5" thickBot="1">
      <c r="A70" s="23"/>
      <c r="B70" s="137" t="s">
        <v>2</v>
      </c>
      <c r="C70" s="250"/>
      <c r="D70" s="81">
        <f aca="true" t="shared" si="35" ref="D70:O70">D69+D73</f>
        <v>735834.3333333334</v>
      </c>
      <c r="E70" s="81">
        <f t="shared" si="35"/>
        <v>727253</v>
      </c>
      <c r="F70" s="81">
        <f t="shared" si="35"/>
        <v>718671.6666666666</v>
      </c>
      <c r="G70" s="81">
        <f t="shared" si="35"/>
        <v>710090.3333333333</v>
      </c>
      <c r="H70" s="81">
        <f t="shared" si="35"/>
        <v>701508.9999999999</v>
      </c>
      <c r="I70" s="81">
        <f t="shared" si="35"/>
        <v>692927.6666666665</v>
      </c>
      <c r="J70" s="81">
        <f t="shared" si="35"/>
        <v>684346.3333333331</v>
      </c>
      <c r="K70" s="81">
        <f t="shared" si="35"/>
        <v>675764.9999999998</v>
      </c>
      <c r="L70" s="81">
        <f t="shared" si="35"/>
        <v>667183.6666666664</v>
      </c>
      <c r="M70" s="81">
        <f t="shared" si="35"/>
        <v>658602.333333333</v>
      </c>
      <c r="N70" s="81">
        <f t="shared" si="35"/>
        <v>650020.9999999997</v>
      </c>
      <c r="O70" s="81">
        <f t="shared" si="35"/>
        <v>585551.1434691324</v>
      </c>
      <c r="P70" s="82" t="s">
        <v>156</v>
      </c>
      <c r="Q70" s="22"/>
    </row>
    <row r="71" spans="1:17" ht="16.5" thickBot="1">
      <c r="A71" s="23"/>
      <c r="B71" s="137" t="s">
        <v>188</v>
      </c>
      <c r="C71" s="250"/>
      <c r="D71" s="81">
        <f aca="true" t="shared" si="36" ref="D71:O71">D21</f>
        <v>451749.5</v>
      </c>
      <c r="E71" s="81">
        <f t="shared" si="36"/>
        <v>0</v>
      </c>
      <c r="F71" s="81">
        <f t="shared" si="36"/>
        <v>0</v>
      </c>
      <c r="G71" s="81">
        <f t="shared" si="36"/>
        <v>0</v>
      </c>
      <c r="H71" s="81">
        <f t="shared" si="36"/>
        <v>0</v>
      </c>
      <c r="I71" s="81">
        <f t="shared" si="36"/>
        <v>0</v>
      </c>
      <c r="J71" s="81">
        <f t="shared" si="36"/>
        <v>0</v>
      </c>
      <c r="K71" s="81">
        <f t="shared" si="36"/>
        <v>0</v>
      </c>
      <c r="L71" s="81">
        <f t="shared" si="36"/>
        <v>0</v>
      </c>
      <c r="M71" s="81">
        <f t="shared" si="36"/>
        <v>0</v>
      </c>
      <c r="N71" s="81">
        <f t="shared" si="36"/>
        <v>0</v>
      </c>
      <c r="O71" s="81">
        <f t="shared" si="36"/>
        <v>0</v>
      </c>
      <c r="P71" s="82">
        <f>SUM(D71:O71)</f>
        <v>451749.5</v>
      </c>
      <c r="Q71" s="22"/>
    </row>
    <row r="72" spans="1:17" ht="16.5" thickBot="1">
      <c r="A72" s="23"/>
      <c r="B72" s="137" t="s">
        <v>189</v>
      </c>
      <c r="C72" s="250"/>
      <c r="D72" s="81">
        <f aca="true" t="shared" si="37" ref="D72:O72">D67</f>
        <v>167664.66666666666</v>
      </c>
      <c r="E72" s="81">
        <f t="shared" si="37"/>
        <v>8581.333333333332</v>
      </c>
      <c r="F72" s="81">
        <f t="shared" si="37"/>
        <v>8581.333333333332</v>
      </c>
      <c r="G72" s="81">
        <f t="shared" si="37"/>
        <v>8581.333333333332</v>
      </c>
      <c r="H72" s="81">
        <f t="shared" si="37"/>
        <v>8581.333333333332</v>
      </c>
      <c r="I72" s="81">
        <f t="shared" si="37"/>
        <v>8581.333333333332</v>
      </c>
      <c r="J72" s="81">
        <f t="shared" si="37"/>
        <v>8581.333333333332</v>
      </c>
      <c r="K72" s="81">
        <f t="shared" si="37"/>
        <v>8581.333333333332</v>
      </c>
      <c r="L72" s="81">
        <f t="shared" si="37"/>
        <v>8581.333333333332</v>
      </c>
      <c r="M72" s="81">
        <f t="shared" si="37"/>
        <v>8581.333333333332</v>
      </c>
      <c r="N72" s="81">
        <f t="shared" si="37"/>
        <v>8581.333333333332</v>
      </c>
      <c r="O72" s="81">
        <f t="shared" si="37"/>
        <v>64469.8565308673</v>
      </c>
      <c r="P72" s="82">
        <f>SUM(D72:O72)</f>
        <v>317947.8565308674</v>
      </c>
      <c r="Q72" s="22"/>
    </row>
    <row r="73" spans="1:17" s="3" customFormat="1" ht="16.5" thickBot="1">
      <c r="A73" s="116"/>
      <c r="B73" s="135" t="s">
        <v>1</v>
      </c>
      <c r="C73" s="252"/>
      <c r="D73" s="126">
        <f aca="true" t="shared" si="38" ref="D73:O73">D71-D72</f>
        <v>284084.8333333334</v>
      </c>
      <c r="E73" s="126">
        <f t="shared" si="38"/>
        <v>-8581.333333333332</v>
      </c>
      <c r="F73" s="126">
        <f t="shared" si="38"/>
        <v>-8581.333333333332</v>
      </c>
      <c r="G73" s="126">
        <f t="shared" si="38"/>
        <v>-8581.333333333332</v>
      </c>
      <c r="H73" s="126">
        <f t="shared" si="38"/>
        <v>-8581.333333333332</v>
      </c>
      <c r="I73" s="126">
        <f t="shared" si="38"/>
        <v>-8581.333333333332</v>
      </c>
      <c r="J73" s="126">
        <f t="shared" si="38"/>
        <v>-8581.333333333332</v>
      </c>
      <c r="K73" s="126">
        <f t="shared" si="38"/>
        <v>-8581.333333333332</v>
      </c>
      <c r="L73" s="126">
        <f t="shared" si="38"/>
        <v>-8581.333333333332</v>
      </c>
      <c r="M73" s="126">
        <f t="shared" si="38"/>
        <v>-8581.333333333332</v>
      </c>
      <c r="N73" s="126">
        <f t="shared" si="38"/>
        <v>-8581.333333333332</v>
      </c>
      <c r="O73" s="126">
        <f t="shared" si="38"/>
        <v>-64469.8565308673</v>
      </c>
      <c r="P73" s="127">
        <f>SUM(D73:O73)</f>
        <v>133801.64346913272</v>
      </c>
      <c r="Q73" s="2"/>
    </row>
    <row r="74" ht="16.5" thickBot="1">
      <c r="P74" s="4" t="s">
        <v>156</v>
      </c>
    </row>
    <row r="75" ht="15.75"/>
    <row r="77" spans="4:16" ht="16.5" thickBot="1">
      <c r="D77" s="9"/>
      <c r="E77" s="9"/>
      <c r="F77" s="9"/>
      <c r="G77" s="9"/>
      <c r="H77" s="9"/>
      <c r="I77" s="9"/>
      <c r="J77" s="9"/>
      <c r="K77" s="9"/>
      <c r="L77" s="9"/>
      <c r="M77" s="9"/>
      <c r="N77" s="9"/>
      <c r="O77" s="9"/>
      <c r="P77" s="9"/>
    </row>
    <row r="78" spans="4:16" ht="16.5" thickBot="1">
      <c r="D78" s="9"/>
      <c r="E78" s="9"/>
      <c r="F78" s="9"/>
      <c r="G78" s="9"/>
      <c r="H78" s="9"/>
      <c r="I78" s="9"/>
      <c r="J78" s="9"/>
      <c r="K78" s="9"/>
      <c r="L78" s="9"/>
      <c r="M78" s="9"/>
      <c r="N78" s="9"/>
      <c r="O78" s="9"/>
      <c r="P78" s="9"/>
    </row>
    <row r="79" spans="4:16" ht="16.5" thickBot="1">
      <c r="D79" s="9"/>
      <c r="E79" s="9"/>
      <c r="F79" s="9"/>
      <c r="G79" s="9"/>
      <c r="H79" s="9"/>
      <c r="I79" s="9"/>
      <c r="J79" s="9"/>
      <c r="K79" s="9"/>
      <c r="L79" s="9"/>
      <c r="M79" s="9"/>
      <c r="N79" s="9"/>
      <c r="O79" s="9"/>
      <c r="P79" s="9"/>
    </row>
    <row r="80" spans="4:16" ht="16.5" thickBot="1">
      <c r="D80" s="9"/>
      <c r="E80" s="9"/>
      <c r="F80" s="9"/>
      <c r="G80" s="9"/>
      <c r="H80" s="9"/>
      <c r="I80" s="9"/>
      <c r="J80" s="9"/>
      <c r="K80" s="9"/>
      <c r="L80" s="9"/>
      <c r="M80" s="9"/>
      <c r="N80" s="9"/>
      <c r="O80" s="9"/>
      <c r="P80" s="9"/>
    </row>
    <row r="82" ht="15.75"/>
    <row r="83" ht="15.75"/>
    <row r="84" ht="15.75"/>
    <row r="85" ht="15.75"/>
    <row r="86" ht="15.75"/>
    <row r="87" ht="15.75"/>
    <row r="88" ht="15.75"/>
    <row r="89" ht="15.75"/>
    <row r="90" ht="15.75"/>
    <row r="91" ht="15.75"/>
    <row r="92" ht="15.75"/>
    <row r="93" ht="15.75"/>
    <row r="94" ht="15.75"/>
    <row r="95" ht="15.75"/>
    <row r="96" ht="15.75"/>
    <row r="97" ht="15.75"/>
    <row r="98" ht="15.75"/>
    <row r="99" ht="15.75"/>
    <row r="100" ht="15.75"/>
    <row r="101" ht="15.75"/>
    <row r="102" ht="15.75"/>
    <row r="103" ht="15.75"/>
    <row r="104" ht="15.75"/>
    <row r="105" ht="15.75"/>
    <row r="106" ht="15.75"/>
    <row r="107" ht="15.75"/>
    <row r="108" ht="15.75"/>
    <row r="109" ht="15.75"/>
    <row r="110" ht="15.75"/>
    <row r="111" ht="15.75"/>
  </sheetData>
  <sheetProtection/>
  <mergeCells count="5">
    <mergeCell ref="B8:P8"/>
    <mergeCell ref="B4:G6"/>
    <mergeCell ref="C26:C46"/>
    <mergeCell ref="C47:C56"/>
    <mergeCell ref="C61:C6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1:J58"/>
  <sheetViews>
    <sheetView tabSelected="1" workbookViewId="0" topLeftCell="A1">
      <selection activeCell="E34" sqref="E34"/>
    </sheetView>
  </sheetViews>
  <sheetFormatPr defaultColWidth="11.00390625" defaultRowHeight="12.75"/>
  <cols>
    <col min="1" max="1" width="5.00390625" style="29" customWidth="1"/>
    <col min="2" max="2" width="19.625" style="29" bestFit="1" customWidth="1"/>
    <col min="3" max="3" width="12.875" style="29" customWidth="1"/>
    <col min="4" max="4" width="24.125" style="29" customWidth="1"/>
    <col min="5" max="5" width="12.00390625" style="29" customWidth="1"/>
    <col min="6" max="6" width="10.75390625" style="29" customWidth="1"/>
    <col min="7" max="7" width="19.625" style="29" bestFit="1" customWidth="1"/>
    <col min="8" max="8" width="10.75390625" style="29" customWidth="1"/>
    <col min="9" max="9" width="21.625" style="29" bestFit="1" customWidth="1"/>
    <col min="10" max="10" width="14.00390625" style="29" customWidth="1"/>
    <col min="11" max="16384" width="10.75390625" style="29" customWidth="1"/>
  </cols>
  <sheetData>
    <row r="1" ht="19.5">
      <c r="B1" s="235" t="s">
        <v>309</v>
      </c>
    </row>
    <row r="3" spans="2:7" ht="12.75">
      <c r="B3" s="19" t="s">
        <v>306</v>
      </c>
      <c r="G3" s="19" t="s">
        <v>9</v>
      </c>
    </row>
    <row r="4" ht="13.5" thickBot="1"/>
    <row r="5" spans="2:10" ht="12.75">
      <c r="B5" s="393" t="s">
        <v>304</v>
      </c>
      <c r="C5" s="310"/>
      <c r="D5" s="310"/>
      <c r="E5" s="311"/>
      <c r="G5" s="364" t="s">
        <v>301</v>
      </c>
      <c r="H5" s="365"/>
      <c r="I5" s="365"/>
      <c r="J5" s="366"/>
    </row>
    <row r="6" spans="2:10" ht="12.75">
      <c r="B6" s="312"/>
      <c r="C6" s="313"/>
      <c r="D6" s="313"/>
      <c r="E6" s="314"/>
      <c r="G6" s="367"/>
      <c r="H6" s="368"/>
      <c r="I6" s="368"/>
      <c r="J6" s="369"/>
    </row>
    <row r="7" spans="2:10" ht="12.75">
      <c r="B7" s="312"/>
      <c r="C7" s="313"/>
      <c r="D7" s="313"/>
      <c r="E7" s="314"/>
      <c r="G7" s="367"/>
      <c r="H7" s="368"/>
      <c r="I7" s="368"/>
      <c r="J7" s="369"/>
    </row>
    <row r="8" spans="2:10" ht="12.75">
      <c r="B8" s="312"/>
      <c r="C8" s="313"/>
      <c r="D8" s="313"/>
      <c r="E8" s="314"/>
      <c r="G8" s="367"/>
      <c r="H8" s="368"/>
      <c r="I8" s="368"/>
      <c r="J8" s="369"/>
    </row>
    <row r="9" spans="2:10" ht="13.5" thickBot="1">
      <c r="B9" s="315"/>
      <c r="C9" s="316"/>
      <c r="D9" s="316"/>
      <c r="E9" s="317"/>
      <c r="G9" s="370"/>
      <c r="H9" s="371"/>
      <c r="I9" s="371"/>
      <c r="J9" s="372"/>
    </row>
    <row r="10" ht="13.5" thickBot="1"/>
    <row r="11" spans="2:10" ht="12.75">
      <c r="B11" s="390" t="s">
        <v>303</v>
      </c>
      <c r="C11" s="391"/>
      <c r="D11" s="391"/>
      <c r="E11" s="392"/>
      <c r="G11" s="390" t="s">
        <v>302</v>
      </c>
      <c r="H11" s="391"/>
      <c r="I11" s="391"/>
      <c r="J11" s="392"/>
    </row>
    <row r="12" spans="2:10" ht="12.75">
      <c r="B12" s="10"/>
      <c r="C12" s="65"/>
      <c r="D12" s="11"/>
      <c r="E12" s="155"/>
      <c r="G12" s="10"/>
      <c r="H12" s="159"/>
      <c r="I12" s="11"/>
      <c r="J12" s="155"/>
    </row>
    <row r="13" spans="2:10" ht="12.75">
      <c r="B13" s="12" t="s">
        <v>184</v>
      </c>
      <c r="C13" s="65"/>
      <c r="D13" s="13" t="s">
        <v>176</v>
      </c>
      <c r="E13" s="155"/>
      <c r="G13" s="12" t="s">
        <v>184</v>
      </c>
      <c r="H13" s="159"/>
      <c r="I13" s="13" t="s">
        <v>176</v>
      </c>
      <c r="J13" s="155"/>
    </row>
    <row r="14" spans="2:10" ht="12.75">
      <c r="B14" s="14" t="s">
        <v>73</v>
      </c>
      <c r="C14" s="65"/>
      <c r="D14" s="13" t="s">
        <v>98</v>
      </c>
      <c r="E14" s="155"/>
      <c r="G14" s="14" t="s">
        <v>73</v>
      </c>
      <c r="H14" s="159"/>
      <c r="I14" s="13" t="s">
        <v>98</v>
      </c>
      <c r="J14" s="155"/>
    </row>
    <row r="15" spans="2:10" ht="12.75">
      <c r="B15" s="10" t="s">
        <v>74</v>
      </c>
      <c r="C15" s="152">
        <f>Cashflow!P73</f>
        <v>133801.64346913272</v>
      </c>
      <c r="D15" s="11" t="s">
        <v>99</v>
      </c>
      <c r="E15" s="156">
        <f>Financing!F26+Financing!F35</f>
        <v>55888.52319753396</v>
      </c>
      <c r="G15" s="10" t="s">
        <v>74</v>
      </c>
      <c r="H15" s="160">
        <f>Financing!C14</f>
        <v>106950</v>
      </c>
      <c r="I15" s="11" t="s">
        <v>99</v>
      </c>
      <c r="J15" s="156">
        <f>Financing!F26+Financing!F35</f>
        <v>55888.52319753396</v>
      </c>
    </row>
    <row r="16" spans="2:10" ht="12.75">
      <c r="B16" s="10"/>
      <c r="C16" s="65"/>
      <c r="D16" s="11"/>
      <c r="E16" s="155"/>
      <c r="G16" s="10"/>
      <c r="H16" s="159"/>
      <c r="I16" s="11"/>
      <c r="J16" s="155"/>
    </row>
    <row r="17" spans="2:10" ht="12.75">
      <c r="B17" s="10"/>
      <c r="C17" s="65"/>
      <c r="D17" s="11"/>
      <c r="E17" s="155"/>
      <c r="G17" s="10"/>
      <c r="H17" s="159"/>
      <c r="I17" s="11"/>
      <c r="J17" s="155"/>
    </row>
    <row r="18" spans="2:10" ht="12.75">
      <c r="B18" s="14" t="s">
        <v>254</v>
      </c>
      <c r="C18" s="65"/>
      <c r="D18" s="13" t="s">
        <v>178</v>
      </c>
      <c r="E18" s="155"/>
      <c r="G18" s="14" t="s">
        <v>254</v>
      </c>
      <c r="H18" s="159"/>
      <c r="I18" s="13" t="s">
        <v>178</v>
      </c>
      <c r="J18" s="155"/>
    </row>
    <row r="19" spans="2:10" ht="12.75">
      <c r="B19" s="10" t="s">
        <v>308</v>
      </c>
      <c r="C19" s="152">
        <f>SUM(Startup!D15:D16)</f>
        <v>145000</v>
      </c>
      <c r="D19" s="11" t="s">
        <v>307</v>
      </c>
      <c r="E19" s="156">
        <f>SUM(C19:C20)</f>
        <v>159000</v>
      </c>
      <c r="G19" s="10" t="s">
        <v>308</v>
      </c>
      <c r="H19" s="160">
        <f>SUM(Startup!D15:D16)</f>
        <v>145000</v>
      </c>
      <c r="I19" s="11" t="s">
        <v>307</v>
      </c>
      <c r="J19" s="156">
        <f>SUM(H19:H20)</f>
        <v>159000</v>
      </c>
    </row>
    <row r="20" spans="2:10" ht="12.75">
      <c r="B20" s="10" t="s">
        <v>205</v>
      </c>
      <c r="C20" s="152">
        <f>SUM(Startup!D12:D13)</f>
        <v>14000</v>
      </c>
      <c r="D20" s="11"/>
      <c r="E20" s="155"/>
      <c r="G20" s="10" t="s">
        <v>205</v>
      </c>
      <c r="H20" s="160">
        <f>SUM(Startup!D12:D13)</f>
        <v>14000</v>
      </c>
      <c r="I20" s="11"/>
      <c r="J20" s="155"/>
    </row>
    <row r="21" spans="2:10" ht="12.75">
      <c r="B21" s="10" t="s">
        <v>100</v>
      </c>
      <c r="C21" s="153">
        <f>C20*0.1</f>
        <v>1400</v>
      </c>
      <c r="D21" s="11"/>
      <c r="E21" s="155"/>
      <c r="G21" s="10"/>
      <c r="H21" s="159"/>
      <c r="I21" s="11"/>
      <c r="J21" s="155"/>
    </row>
    <row r="22" spans="2:10" ht="12.75">
      <c r="B22" s="10"/>
      <c r="C22" s="65"/>
      <c r="D22" s="11"/>
      <c r="E22" s="155"/>
      <c r="G22" s="10"/>
      <c r="H22" s="159"/>
      <c r="I22" s="11"/>
      <c r="J22" s="155"/>
    </row>
    <row r="23" spans="2:10" ht="12.75">
      <c r="B23" s="14" t="s">
        <v>11</v>
      </c>
      <c r="C23" s="297">
        <f>SUM(C15:C15,C19:C21)</f>
        <v>294201.6434691327</v>
      </c>
      <c r="D23" s="13" t="s">
        <v>12</v>
      </c>
      <c r="E23" s="157">
        <f>SUM(E15,E19)</f>
        <v>214888.52319753397</v>
      </c>
      <c r="G23" s="14" t="s">
        <v>11</v>
      </c>
      <c r="H23" s="298">
        <f>SUM(H15:H15,H19:H20)</f>
        <v>265950</v>
      </c>
      <c r="I23" s="13" t="s">
        <v>12</v>
      </c>
      <c r="J23" s="157">
        <f>SUM(J15,J19)</f>
        <v>214888.52319753397</v>
      </c>
    </row>
    <row r="24" spans="2:10" ht="12.75">
      <c r="B24" s="10"/>
      <c r="C24" s="65"/>
      <c r="D24" s="11"/>
      <c r="E24" s="155"/>
      <c r="G24" s="10"/>
      <c r="H24" s="159"/>
      <c r="I24" s="11"/>
      <c r="J24" s="155"/>
    </row>
    <row r="25" spans="2:10" ht="13.5" thickBot="1">
      <c r="B25" s="15" t="s">
        <v>69</v>
      </c>
      <c r="C25" s="154">
        <f>C23-E23</f>
        <v>79313.12027159875</v>
      </c>
      <c r="D25" s="16"/>
      <c r="E25" s="158"/>
      <c r="G25" s="15" t="s">
        <v>10</v>
      </c>
      <c r="H25" s="161">
        <f>H23-J23</f>
        <v>51061.47680246603</v>
      </c>
      <c r="I25" s="16"/>
      <c r="J25" s="158"/>
    </row>
    <row r="58" ht="12.75">
      <c r="G58" s="20"/>
    </row>
  </sheetData>
  <sheetProtection/>
  <mergeCells count="4">
    <mergeCell ref="B11:E11"/>
    <mergeCell ref="G11:J11"/>
    <mergeCell ref="B5:E9"/>
    <mergeCell ref="G5:J9"/>
  </mergeCells>
  <printOptions/>
  <pageMargins left="0.75" right="0.75" top="1" bottom="1" header="0.5" footer="0.5"/>
  <pageSetup orientation="portrait" paperSize="9"/>
  <ignoredErrors>
    <ignoredError sqref="C20 H20"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Monte  Staats</dc:creator>
  <cp:keywords/>
  <dc:description/>
  <cp:lastModifiedBy>Persephone Brewing</cp:lastModifiedBy>
  <dcterms:created xsi:type="dcterms:W3CDTF">2013-09-13T13:17:55Z</dcterms:created>
  <dcterms:modified xsi:type="dcterms:W3CDTF">2015-05-22T18:54:01Z</dcterms:modified>
  <cp:category/>
  <cp:version/>
  <cp:contentType/>
  <cp:contentStatus/>
</cp:coreProperties>
</file>