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1" sheetId="1" r:id="rId1"/>
    <sheet name="Sheet2" sheetId="2" r:id="rId2"/>
    <sheet name="Sheet3" sheetId="3" r:id="rId3"/>
    <sheet name="Compatibility Report" sheetId="4" r:id="rId4"/>
  </sheets>
  <definedNames>
    <definedName name="_xlnm.Print_Area" localSheetId="0">'Sheet1'!$A$1:$I$41</definedName>
  </definedNames>
  <calcPr fullCalcOnLoad="1"/>
</workbook>
</file>

<file path=xl/sharedStrings.xml><?xml version="1.0" encoding="utf-8"?>
<sst xmlns="http://schemas.openxmlformats.org/spreadsheetml/2006/main" count="83" uniqueCount="54">
  <si>
    <t>Convert</t>
  </si>
  <si>
    <t>Unit</t>
  </si>
  <si>
    <t>grams</t>
  </si>
  <si>
    <t>ounces</t>
  </si>
  <si>
    <t>pounds</t>
  </si>
  <si>
    <t>kilograms</t>
  </si>
  <si>
    <t>milliliters</t>
  </si>
  <si>
    <t>liters</t>
  </si>
  <si>
    <t>pints</t>
  </si>
  <si>
    <t>quarts</t>
  </si>
  <si>
    <t>gallons</t>
  </si>
  <si>
    <t>Conversion Tables</t>
  </si>
  <si>
    <t>tons</t>
  </si>
  <si>
    <t>inches</t>
  </si>
  <si>
    <t>centimeters</t>
  </si>
  <si>
    <t>feet</t>
  </si>
  <si>
    <t>yards</t>
  </si>
  <si>
    <t>meters</t>
  </si>
  <si>
    <t>Weight:</t>
  </si>
  <si>
    <t>Liquid:</t>
  </si>
  <si>
    <t>Linear:</t>
  </si>
  <si>
    <t>Square Measure:</t>
  </si>
  <si>
    <t>sq. inches</t>
  </si>
  <si>
    <t>sq. yards</t>
  </si>
  <si>
    <t>sq. feet</t>
  </si>
  <si>
    <t>sq. centimeters</t>
  </si>
  <si>
    <t>sq. meters</t>
  </si>
  <si>
    <t>square inches</t>
  </si>
  <si>
    <t>square feet</t>
  </si>
  <si>
    <t>square yards</t>
  </si>
  <si>
    <t>square meters</t>
  </si>
  <si>
    <t>Volumes:</t>
  </si>
  <si>
    <t>cubic inches</t>
  </si>
  <si>
    <t>cubic feet</t>
  </si>
  <si>
    <t>cubic yards</t>
  </si>
  <si>
    <t>cubic centimeters</t>
  </si>
  <si>
    <t>cubic meters</t>
  </si>
  <si>
    <t>Compatibility Report for Conversion Tables.xls</t>
  </si>
  <si>
    <t>Run on 11/19/2007 9:27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</si>
  <si>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</si>
  <si>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</si>
  <si>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</si>
  <si>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</si>
  <si>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Fraction Conversions</t>
  </si>
  <si>
    <t>1/2" = 0.5 in.</t>
  </si>
  <si>
    <t>7/16" = 0.438 in.</t>
  </si>
  <si>
    <t>3/8" = 0.375 in.</t>
  </si>
  <si>
    <t>5/16" = 0.313 in.</t>
  </si>
  <si>
    <t>1/4" = 0.25 in.</t>
  </si>
  <si>
    <t>3/16" = 0.188 in.</t>
  </si>
  <si>
    <t>1/8" = 0.125 in.</t>
  </si>
  <si>
    <t>1/16" = 0.063 in.</t>
  </si>
  <si>
    <t>1/32" = 0.031 in.</t>
  </si>
  <si>
    <t>Enter amount to convert in gold box next to desired unit.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</si>
</sst>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0"/>
      <color indexed="8"/>
      <name val="Calibri"/>
      <family val="2"/>
    </font>
    <font>
      <b/>
      <sz val="9"/>
      <color indexed="8"/>
      <name val="Calibri"/>
      <family val="2"/>
    </font>
    <font>
      <b/>
      <u val="single"/>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0"/>
      <color theme="1"/>
      <name val="Calibri"/>
      <family val="2"/>
    </font>
    <font>
      <b/>
      <sz val="9"/>
      <color theme="1"/>
      <name val="Calibri"/>
      <family val="2"/>
    </font>
    <font>
      <b/>
      <u val="single"/>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color indexed="63"/>
      </left>
      <right style="thin"/>
      <top style="thin"/>
      <bottom style="double"/>
    </border>
    <border>
      <left style="thin"/>
      <right style="thick"/>
      <top style="thin"/>
      <bottom style="double"/>
    </border>
    <border>
      <left>
        <color indexed="63"/>
      </left>
      <right>
        <color indexed="63"/>
      </right>
      <top>
        <color indexed="63"/>
      </top>
      <bottom style="thin"/>
    </border>
    <border>
      <left>
        <color indexed="63"/>
      </left>
      <right style="thick"/>
      <top>
        <color indexed="63"/>
      </top>
      <bottom style="double"/>
    </border>
    <border>
      <left style="thick"/>
      <right style="thick"/>
      <top style="double"/>
      <bottom style="thin"/>
    </border>
    <border>
      <left style="thick"/>
      <right style="thick"/>
      <top style="thin"/>
      <bottom style="thin"/>
    </border>
    <border>
      <left style="thick"/>
      <right style="thick"/>
      <top style="thin"/>
      <bottom style="double"/>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ck"/>
      <top style="double"/>
      <bottom style="thin"/>
    </border>
    <border>
      <left style="thin"/>
      <right style="thick"/>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6" fillId="0" borderId="12" xfId="0" applyFont="1" applyBorder="1" applyAlignment="1">
      <alignment horizontal="center"/>
    </xf>
    <xf numFmtId="0" fontId="0" fillId="0" borderId="13" xfId="0" applyBorder="1" applyAlignment="1">
      <alignment/>
    </xf>
    <xf numFmtId="0" fontId="36" fillId="0" borderId="14" xfId="0" applyFont="1" applyBorder="1" applyAlignment="1">
      <alignment horizontal="center"/>
    </xf>
    <xf numFmtId="0" fontId="36" fillId="0" borderId="15" xfId="0" applyFont="1" applyBorder="1" applyAlignment="1">
      <alignment horizontal="center"/>
    </xf>
    <xf numFmtId="0" fontId="36" fillId="0" borderId="16" xfId="0" applyFont="1" applyBorder="1" applyAlignment="1">
      <alignment horizontal="center"/>
    </xf>
    <xf numFmtId="0" fontId="36" fillId="0" borderId="17" xfId="0" applyFont="1" applyBorder="1" applyAlignment="1">
      <alignment horizontal="center"/>
    </xf>
    <xf numFmtId="0" fontId="38" fillId="0" borderId="0" xfId="0" applyFont="1" applyBorder="1" applyAlignment="1">
      <alignment/>
    </xf>
    <xf numFmtId="0" fontId="38" fillId="0" borderId="0" xfId="0" applyFont="1" applyAlignment="1">
      <alignment/>
    </xf>
    <xf numFmtId="0" fontId="36" fillId="0" borderId="0" xfId="0" applyFont="1" applyBorder="1" applyAlignment="1">
      <alignment horizontal="center"/>
    </xf>
    <xf numFmtId="165" fontId="36" fillId="0" borderId="18" xfId="0" applyNumberFormat="1" applyFont="1" applyBorder="1" applyAlignment="1">
      <alignment horizontal="center"/>
    </xf>
    <xf numFmtId="165" fontId="36" fillId="0" borderId="19" xfId="0" applyNumberFormat="1" applyFont="1" applyBorder="1" applyAlignment="1">
      <alignment horizontal="center"/>
    </xf>
    <xf numFmtId="165" fontId="36" fillId="0" borderId="20" xfId="0" applyNumberFormat="1" applyFont="1" applyBorder="1" applyAlignment="1">
      <alignment horizontal="center"/>
    </xf>
    <xf numFmtId="165" fontId="36" fillId="0" borderId="21" xfId="0" applyNumberFormat="1" applyFont="1" applyBorder="1" applyAlignment="1">
      <alignment horizontal="center"/>
    </xf>
    <xf numFmtId="165" fontId="0" fillId="0" borderId="0" xfId="0" applyNumberFormat="1" applyAlignment="1">
      <alignment/>
    </xf>
    <xf numFmtId="165" fontId="36" fillId="0" borderId="11" xfId="0" applyNumberFormat="1" applyFont="1" applyBorder="1" applyAlignment="1">
      <alignment horizontal="center"/>
    </xf>
    <xf numFmtId="165" fontId="36" fillId="0" borderId="10" xfId="0" applyNumberFormat="1" applyFont="1" applyBorder="1" applyAlignment="1">
      <alignment horizontal="center"/>
    </xf>
    <xf numFmtId="0" fontId="0" fillId="0" borderId="0" xfId="0" applyBorder="1" applyAlignment="1">
      <alignment/>
    </xf>
    <xf numFmtId="0" fontId="36" fillId="0" borderId="0" xfId="0" applyFont="1" applyAlignment="1">
      <alignment horizontal="center"/>
    </xf>
    <xf numFmtId="0" fontId="36" fillId="33" borderId="0" xfId="0" applyFont="1" applyFill="1" applyBorder="1" applyAlignment="1">
      <alignment horizontal="center"/>
    </xf>
    <xf numFmtId="165" fontId="36" fillId="0" borderId="0" xfId="0" applyNumberFormat="1" applyFont="1" applyBorder="1" applyAlignment="1">
      <alignment horizontal="center"/>
    </xf>
    <xf numFmtId="0" fontId="39" fillId="0" borderId="0" xfId="0" applyFont="1" applyAlignment="1">
      <alignment horizontal="center"/>
    </xf>
    <xf numFmtId="0" fontId="40" fillId="0" borderId="16" xfId="0" applyFont="1" applyBorder="1" applyAlignment="1">
      <alignment horizontal="center"/>
    </xf>
    <xf numFmtId="0" fontId="39" fillId="0" borderId="16" xfId="0" applyFont="1" applyBorder="1" applyAlignment="1">
      <alignment horizontal="center"/>
    </xf>
    <xf numFmtId="0" fontId="36" fillId="0" borderId="0" xfId="0" applyNumberFormat="1" applyFont="1" applyAlignment="1">
      <alignment vertical="top" wrapText="1"/>
    </xf>
    <xf numFmtId="0" fontId="3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36" fillId="0" borderId="0" xfId="0" applyFont="1" applyAlignment="1">
      <alignment horizontal="center" vertical="top" wrapText="1"/>
    </xf>
    <xf numFmtId="0" fontId="0" fillId="0" borderId="0" xfId="0" applyAlignment="1">
      <alignment horizontal="center" vertical="top" wrapText="1"/>
    </xf>
    <xf numFmtId="0" fontId="36"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36" fillId="0" borderId="25" xfId="0" applyFont="1" applyBorder="1" applyAlignment="1">
      <alignment horizontal="center"/>
    </xf>
    <xf numFmtId="165" fontId="36" fillId="0" borderId="26" xfId="0" applyNumberFormat="1" applyFont="1" applyBorder="1" applyAlignment="1">
      <alignment horizontal="center"/>
    </xf>
    <xf numFmtId="165" fontId="36" fillId="0" borderId="27" xfId="0" applyNumberFormat="1" applyFont="1" applyBorder="1" applyAlignment="1">
      <alignment horizontal="center"/>
    </xf>
    <xf numFmtId="0" fontId="36" fillId="34" borderId="28" xfId="0" applyFont="1" applyFill="1" applyBorder="1" applyAlignment="1">
      <alignment horizontal="center"/>
    </xf>
    <xf numFmtId="0" fontId="36" fillId="34" borderId="19" xfId="0" applyFont="1" applyFill="1" applyBorder="1" applyAlignment="1">
      <alignment horizontal="center"/>
    </xf>
    <xf numFmtId="0" fontId="38" fillId="33" borderId="29" xfId="0" applyFont="1" applyFill="1" applyBorder="1" applyAlignment="1">
      <alignment horizontal="center"/>
    </xf>
    <xf numFmtId="0" fontId="36" fillId="35" borderId="30" xfId="0" applyFont="1" applyFill="1" applyBorder="1" applyAlignment="1" applyProtection="1">
      <alignment horizontal="center"/>
      <protection locked="0"/>
    </xf>
    <xf numFmtId="0" fontId="36" fillId="35" borderId="31" xfId="0" applyFont="1" applyFill="1" applyBorder="1" applyAlignment="1" applyProtection="1">
      <alignment horizontal="center"/>
      <protection locked="0"/>
    </xf>
    <xf numFmtId="0" fontId="36" fillId="0" borderId="0" xfId="0" applyFont="1" applyAlignment="1">
      <alignment/>
    </xf>
    <xf numFmtId="0" fontId="41" fillId="0" borderId="0" xfId="0" applyFont="1" applyBorder="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zoomScalePageLayoutView="0" workbookViewId="0" topLeftCell="A1">
      <selection activeCell="B2" sqref="B2"/>
    </sheetView>
  </sheetViews>
  <sheetFormatPr defaultColWidth="9.140625" defaultRowHeight="15"/>
  <cols>
    <col min="2" max="3" width="12.7109375" style="0" customWidth="1"/>
    <col min="4" max="10" width="20.7109375" style="0" customWidth="1"/>
  </cols>
  <sheetData>
    <row r="1" spans="2:3" ht="21">
      <c r="B1" s="46" t="s">
        <v>11</v>
      </c>
      <c r="C1" s="47"/>
    </row>
    <row r="2" spans="1:4" ht="15">
      <c r="A2" s="9"/>
      <c r="B2" s="10"/>
      <c r="D2" s="45" t="s">
        <v>53</v>
      </c>
    </row>
    <row r="3" spans="2:3" ht="15">
      <c r="B3" s="20" t="s">
        <v>18</v>
      </c>
      <c r="C3" s="4"/>
    </row>
    <row r="4" spans="2:8" ht="15.75" thickBot="1">
      <c r="B4" s="3" t="s">
        <v>0</v>
      </c>
      <c r="C4" s="5" t="s">
        <v>1</v>
      </c>
      <c r="D4" s="2" t="s">
        <v>3</v>
      </c>
      <c r="E4" s="1" t="s">
        <v>2</v>
      </c>
      <c r="F4" s="1" t="s">
        <v>4</v>
      </c>
      <c r="G4" s="1" t="s">
        <v>5</v>
      </c>
      <c r="H4" s="1" t="s">
        <v>12</v>
      </c>
    </row>
    <row r="5" spans="2:8" ht="15.75" thickTop="1">
      <c r="B5" s="43">
        <v>67</v>
      </c>
      <c r="C5" s="6" t="s">
        <v>3</v>
      </c>
      <c r="D5" s="12">
        <f>+B5</f>
        <v>67</v>
      </c>
      <c r="E5" s="13">
        <f>+B5*28.35</f>
        <v>1899.45</v>
      </c>
      <c r="F5" s="13">
        <f>+B5/16</f>
        <v>4.1875</v>
      </c>
      <c r="G5" s="13">
        <f>+(B5/16)/2.2</f>
        <v>1.9034090909090908</v>
      </c>
      <c r="H5" s="13">
        <f>+(B5/16)/2000</f>
        <v>0.00209375</v>
      </c>
    </row>
    <row r="6" spans="2:8" ht="15">
      <c r="B6" s="44">
        <v>678</v>
      </c>
      <c r="C6" s="7" t="s">
        <v>2</v>
      </c>
      <c r="D6" s="14">
        <f>+B6/28.35</f>
        <v>23.915343915343914</v>
      </c>
      <c r="E6" s="15">
        <f>+B6</f>
        <v>678</v>
      </c>
      <c r="F6" s="15">
        <f>+B6/453.6</f>
        <v>1.4947089947089947</v>
      </c>
      <c r="G6" s="15">
        <f>+(B6/453.6)/2.2</f>
        <v>0.6794131794131794</v>
      </c>
      <c r="H6" s="15">
        <f>+(B6/453.6)/2000</f>
        <v>0.0007473544973544973</v>
      </c>
    </row>
    <row r="7" spans="2:8" ht="15">
      <c r="B7" s="44">
        <v>80</v>
      </c>
      <c r="C7" s="7" t="s">
        <v>4</v>
      </c>
      <c r="D7" s="14">
        <f>+B7*16</f>
        <v>1280</v>
      </c>
      <c r="E7" s="15">
        <f>+B7*453.6</f>
        <v>36288</v>
      </c>
      <c r="F7" s="15">
        <f>+B7</f>
        <v>80</v>
      </c>
      <c r="G7" s="15">
        <f>+B7/2.2</f>
        <v>36.36363636363636</v>
      </c>
      <c r="H7" s="15">
        <f>+B7/2000</f>
        <v>0.04</v>
      </c>
    </row>
    <row r="8" spans="2:8" ht="15">
      <c r="B8" s="44">
        <v>4.5</v>
      </c>
      <c r="C8" s="7" t="s">
        <v>5</v>
      </c>
      <c r="D8" s="14">
        <f>+(B8*2.2)*16</f>
        <v>158.4</v>
      </c>
      <c r="E8" s="15">
        <f>+B8*1000</f>
        <v>4500</v>
      </c>
      <c r="F8" s="15">
        <f>+B8*2.2</f>
        <v>9.9</v>
      </c>
      <c r="G8" s="15">
        <f>+B8</f>
        <v>4.5</v>
      </c>
      <c r="H8" s="15">
        <f>+(B8*2.2)/2000</f>
        <v>0.00495</v>
      </c>
    </row>
    <row r="9" spans="2:8" ht="15">
      <c r="B9" s="44">
        <v>15</v>
      </c>
      <c r="C9" s="7" t="s">
        <v>12</v>
      </c>
      <c r="D9" s="14">
        <f>+B9*2000*16</f>
        <v>480000</v>
      </c>
      <c r="E9" s="15">
        <f>+B9*2000*453.5</f>
        <v>13605000</v>
      </c>
      <c r="F9" s="15">
        <f>+B9*2000</f>
        <v>30000</v>
      </c>
      <c r="G9" s="15">
        <f>+(B9*2000)/2.2</f>
        <v>13636.363636363636</v>
      </c>
      <c r="H9" s="15">
        <f>+B9</f>
        <v>15</v>
      </c>
    </row>
    <row r="10" spans="2:8" ht="15">
      <c r="B10" s="21"/>
      <c r="C10" s="11"/>
      <c r="D10" s="22"/>
      <c r="E10" s="22"/>
      <c r="F10" s="22"/>
      <c r="G10" s="22"/>
      <c r="H10" s="22"/>
    </row>
    <row r="11" spans="2:8" ht="15">
      <c r="B11" s="20" t="s">
        <v>19</v>
      </c>
      <c r="D11" s="16"/>
      <c r="E11" s="16"/>
      <c r="F11" s="16"/>
      <c r="G11" s="16"/>
      <c r="H11" s="16"/>
    </row>
    <row r="12" spans="2:8" ht="15.75" thickBot="1">
      <c r="B12" s="3" t="s">
        <v>0</v>
      </c>
      <c r="C12" s="8" t="s">
        <v>1</v>
      </c>
      <c r="D12" s="17" t="s">
        <v>6</v>
      </c>
      <c r="E12" s="18" t="s">
        <v>7</v>
      </c>
      <c r="F12" s="18" t="s">
        <v>8</v>
      </c>
      <c r="G12" s="18" t="s">
        <v>9</v>
      </c>
      <c r="H12" s="18" t="s">
        <v>10</v>
      </c>
    </row>
    <row r="13" spans="2:8" ht="15.75" thickTop="1">
      <c r="B13" s="43">
        <v>158</v>
      </c>
      <c r="C13" s="6" t="s">
        <v>6</v>
      </c>
      <c r="D13" s="12">
        <f>+B13</f>
        <v>158</v>
      </c>
      <c r="E13" s="13">
        <f>+B13/1000</f>
        <v>0.158</v>
      </c>
      <c r="F13" s="13">
        <f>+B13/473.125</f>
        <v>0.33394980184940554</v>
      </c>
      <c r="G13" s="13">
        <f>+B13/946.25</f>
        <v>0.16697490092470277</v>
      </c>
      <c r="H13" s="13">
        <f>+B13/3785</f>
        <v>0.04174372523117569</v>
      </c>
    </row>
    <row r="14" spans="2:8" ht="15">
      <c r="B14" s="44">
        <v>10.5</v>
      </c>
      <c r="C14" s="7" t="s">
        <v>7</v>
      </c>
      <c r="D14" s="14">
        <f>+B14*1000</f>
        <v>10500</v>
      </c>
      <c r="E14" s="15">
        <f>+B14</f>
        <v>10.5</v>
      </c>
      <c r="F14" s="15">
        <f>+(B14*1000)/473.125</f>
        <v>22.192866578599737</v>
      </c>
      <c r="G14" s="15">
        <f>+(B14*1000)/946.25</f>
        <v>11.096433289299869</v>
      </c>
      <c r="H14" s="15">
        <f>+(B14*1000)/3785</f>
        <v>2.774108322324967</v>
      </c>
    </row>
    <row r="15" spans="2:8" ht="15">
      <c r="B15" s="44">
        <v>3.5</v>
      </c>
      <c r="C15" s="7" t="s">
        <v>8</v>
      </c>
      <c r="D15" s="14">
        <f>+B15*473.125</f>
        <v>1655.9375</v>
      </c>
      <c r="E15" s="15">
        <f>+(B15*473.125)/1000</f>
        <v>1.6559375</v>
      </c>
      <c r="F15" s="15">
        <f>+B15</f>
        <v>3.5</v>
      </c>
      <c r="G15" s="15">
        <f>+B15/2</f>
        <v>1.75</v>
      </c>
      <c r="H15" s="15">
        <f>+B15/8</f>
        <v>0.4375</v>
      </c>
    </row>
    <row r="16" spans="2:8" ht="15">
      <c r="B16" s="44">
        <v>16</v>
      </c>
      <c r="C16" s="7" t="s">
        <v>9</v>
      </c>
      <c r="D16" s="14">
        <f>+B16*946.25</f>
        <v>15140</v>
      </c>
      <c r="E16" s="15">
        <f>+(B16*946.25)/1000</f>
        <v>15.14</v>
      </c>
      <c r="F16" s="15">
        <f>+B16*2</f>
        <v>32</v>
      </c>
      <c r="G16" s="15">
        <f>+B16</f>
        <v>16</v>
      </c>
      <c r="H16" s="15">
        <f>+B16/4</f>
        <v>4</v>
      </c>
    </row>
    <row r="17" spans="1:8" ht="15">
      <c r="A17" s="19"/>
      <c r="B17" s="44">
        <v>6.7</v>
      </c>
      <c r="C17" s="7" t="s">
        <v>10</v>
      </c>
      <c r="D17" s="14">
        <f>+B17*3785</f>
        <v>25359.5</v>
      </c>
      <c r="E17" s="15">
        <f>+(B17*3785)/1000</f>
        <v>25.3595</v>
      </c>
      <c r="F17" s="15">
        <f>+B17*8</f>
        <v>53.6</v>
      </c>
      <c r="G17" s="15">
        <f>+B17*4</f>
        <v>26.8</v>
      </c>
      <c r="H17" s="15">
        <f>+B17</f>
        <v>6.7</v>
      </c>
    </row>
    <row r="18" spans="1:9" ht="15">
      <c r="A18" s="19"/>
      <c r="B18" s="21"/>
      <c r="C18" s="11"/>
      <c r="D18" s="22"/>
      <c r="E18" s="22"/>
      <c r="F18" s="22"/>
      <c r="G18" s="22"/>
      <c r="H18" s="22"/>
      <c r="I18" s="42" t="s">
        <v>43</v>
      </c>
    </row>
    <row r="19" spans="2:9" ht="15">
      <c r="B19" s="20" t="s">
        <v>20</v>
      </c>
      <c r="I19" s="40" t="s">
        <v>44</v>
      </c>
    </row>
    <row r="20" spans="2:9" ht="15.75" thickBot="1">
      <c r="B20" s="3" t="s">
        <v>0</v>
      </c>
      <c r="C20" s="8" t="s">
        <v>1</v>
      </c>
      <c r="D20" s="2" t="s">
        <v>13</v>
      </c>
      <c r="E20" s="1" t="s">
        <v>14</v>
      </c>
      <c r="F20" s="1" t="s">
        <v>15</v>
      </c>
      <c r="G20" s="1" t="s">
        <v>16</v>
      </c>
      <c r="H20" s="37" t="s">
        <v>17</v>
      </c>
      <c r="I20" s="40" t="s">
        <v>45</v>
      </c>
    </row>
    <row r="21" spans="2:9" ht="15.75" thickTop="1">
      <c r="B21" s="43">
        <v>56.5</v>
      </c>
      <c r="C21" s="6" t="s">
        <v>13</v>
      </c>
      <c r="D21" s="12">
        <f>+B21</f>
        <v>56.5</v>
      </c>
      <c r="E21" s="13">
        <f>+B21*2.54</f>
        <v>143.51</v>
      </c>
      <c r="F21" s="13">
        <f>+B21/12</f>
        <v>4.708333333333333</v>
      </c>
      <c r="G21" s="13">
        <f>+B21/36</f>
        <v>1.5694444444444444</v>
      </c>
      <c r="H21" s="38">
        <f>+(B21*2.54)/100</f>
        <v>1.4350999999999998</v>
      </c>
      <c r="I21" s="40" t="s">
        <v>46</v>
      </c>
    </row>
    <row r="22" spans="2:9" ht="15">
      <c r="B22" s="44">
        <v>385</v>
      </c>
      <c r="C22" s="7" t="s">
        <v>14</v>
      </c>
      <c r="D22" s="14">
        <f>+B22/2.54</f>
        <v>151.5748031496063</v>
      </c>
      <c r="E22" s="15">
        <f>+B22</f>
        <v>385</v>
      </c>
      <c r="F22" s="15">
        <f>+(B22/2.54)/12</f>
        <v>12.631233595800525</v>
      </c>
      <c r="G22" s="15">
        <f>+(B22/2.54)/36</f>
        <v>4.210411198600175</v>
      </c>
      <c r="H22" s="39">
        <f>+B22/100</f>
        <v>3.85</v>
      </c>
      <c r="I22" s="40" t="s">
        <v>47</v>
      </c>
    </row>
    <row r="23" spans="2:9" ht="15">
      <c r="B23" s="44">
        <v>480</v>
      </c>
      <c r="C23" s="7" t="s">
        <v>15</v>
      </c>
      <c r="D23" s="14">
        <f>+B23*12</f>
        <v>5760</v>
      </c>
      <c r="E23" s="15">
        <f>+B23*12*2.54</f>
        <v>14630.4</v>
      </c>
      <c r="F23" s="15">
        <f>+B23</f>
        <v>480</v>
      </c>
      <c r="G23" s="15">
        <f>+B23/12</f>
        <v>40</v>
      </c>
      <c r="H23" s="39">
        <f>+E23/100</f>
        <v>146.304</v>
      </c>
      <c r="I23" s="40" t="s">
        <v>48</v>
      </c>
    </row>
    <row r="24" spans="2:9" ht="15">
      <c r="B24" s="44">
        <v>36</v>
      </c>
      <c r="C24" s="7" t="s">
        <v>16</v>
      </c>
      <c r="D24" s="14">
        <f>+B24*36</f>
        <v>1296</v>
      </c>
      <c r="E24" s="15">
        <f>+B24*36*2.54</f>
        <v>3291.84</v>
      </c>
      <c r="F24" s="15">
        <f>+B24*3</f>
        <v>108</v>
      </c>
      <c r="G24" s="15">
        <f>+B24</f>
        <v>36</v>
      </c>
      <c r="H24" s="39">
        <f>+E24/100</f>
        <v>32.9184</v>
      </c>
      <c r="I24" s="40" t="s">
        <v>49</v>
      </c>
    </row>
    <row r="25" spans="2:9" ht="15">
      <c r="B25" s="44">
        <v>1000</v>
      </c>
      <c r="C25" s="7" t="s">
        <v>17</v>
      </c>
      <c r="D25" s="14">
        <f>+(B25*100)/2.54</f>
        <v>39370.07874015748</v>
      </c>
      <c r="E25" s="15">
        <f>+B25*100</f>
        <v>100000</v>
      </c>
      <c r="F25" s="15">
        <f>+D25/12</f>
        <v>3280.839895013123</v>
      </c>
      <c r="G25" s="15">
        <f>+F25/3</f>
        <v>1093.6132983377076</v>
      </c>
      <c r="H25" s="39">
        <f>+B25</f>
        <v>1000</v>
      </c>
      <c r="I25" s="40" t="s">
        <v>50</v>
      </c>
    </row>
    <row r="26" ht="15">
      <c r="I26" s="40" t="s">
        <v>51</v>
      </c>
    </row>
    <row r="27" spans="2:9" ht="15">
      <c r="B27" s="23" t="s">
        <v>21</v>
      </c>
      <c r="I27" s="41" t="s">
        <v>52</v>
      </c>
    </row>
    <row r="28" spans="2:8" ht="15.75" thickBot="1">
      <c r="B28" s="3" t="s">
        <v>0</v>
      </c>
      <c r="C28" s="8" t="s">
        <v>1</v>
      </c>
      <c r="D28" s="2" t="s">
        <v>27</v>
      </c>
      <c r="E28" s="1" t="s">
        <v>28</v>
      </c>
      <c r="F28" s="1" t="s">
        <v>29</v>
      </c>
      <c r="G28" s="1" t="s">
        <v>25</v>
      </c>
      <c r="H28" s="1" t="s">
        <v>30</v>
      </c>
    </row>
    <row r="29" spans="2:8" ht="15.75" thickTop="1">
      <c r="B29" s="43">
        <v>144</v>
      </c>
      <c r="C29" s="6" t="s">
        <v>22</v>
      </c>
      <c r="D29" s="12">
        <f>+B29</f>
        <v>144</v>
      </c>
      <c r="E29" s="13">
        <f>+B29/144</f>
        <v>1</v>
      </c>
      <c r="F29" s="13">
        <f>+(B29/144)/9</f>
        <v>0.1111111111111111</v>
      </c>
      <c r="G29" s="13">
        <f>+B29*6.4516</f>
        <v>929.0304</v>
      </c>
      <c r="H29" s="13">
        <f>+G29/10000</f>
        <v>0.09290303999999999</v>
      </c>
    </row>
    <row r="30" spans="2:8" ht="15">
      <c r="B30" s="44">
        <v>10546</v>
      </c>
      <c r="C30" s="7" t="s">
        <v>24</v>
      </c>
      <c r="D30" s="14">
        <f>+B30*144</f>
        <v>1518624</v>
      </c>
      <c r="E30" s="15">
        <f>+B30</f>
        <v>10546</v>
      </c>
      <c r="F30" s="15">
        <f>+E30/9</f>
        <v>1171.7777777777778</v>
      </c>
      <c r="G30" s="15">
        <f>+B30*144*6.4516</f>
        <v>9797554.5984</v>
      </c>
      <c r="H30" s="15">
        <f>+G30/10000</f>
        <v>979.7554598400001</v>
      </c>
    </row>
    <row r="31" spans="2:8" ht="15">
      <c r="B31" s="44">
        <v>1728</v>
      </c>
      <c r="C31" s="7" t="s">
        <v>23</v>
      </c>
      <c r="D31" s="14">
        <f>+B31*9*144</f>
        <v>2239488</v>
      </c>
      <c r="E31" s="15">
        <f>+B31*9</f>
        <v>15552</v>
      </c>
      <c r="F31" s="15">
        <f>+B31</f>
        <v>1728</v>
      </c>
      <c r="G31" s="15">
        <f>+B31*9*144*6.4516</f>
        <v>14448280.7808</v>
      </c>
      <c r="H31" s="15">
        <f>+G31/10000</f>
        <v>1444.82807808</v>
      </c>
    </row>
    <row r="32" spans="2:8" ht="15">
      <c r="B32" s="44">
        <v>8785</v>
      </c>
      <c r="C32" s="25" t="s">
        <v>25</v>
      </c>
      <c r="D32" s="14">
        <f>+B32/6.4516</f>
        <v>1361.6777233554467</v>
      </c>
      <c r="E32" s="15">
        <f>+D32/144</f>
        <v>9.456095301079491</v>
      </c>
      <c r="F32" s="15">
        <f>+E31/9</f>
        <v>1728</v>
      </c>
      <c r="G32" s="15">
        <f>+B32</f>
        <v>8785</v>
      </c>
      <c r="H32" s="15">
        <f>+B32/10000</f>
        <v>0.8785</v>
      </c>
    </row>
    <row r="33" spans="2:8" ht="15">
      <c r="B33" s="44">
        <v>1000</v>
      </c>
      <c r="C33" s="7" t="s">
        <v>26</v>
      </c>
      <c r="D33" s="14">
        <f>+(B33*10000)/6.4516</f>
        <v>1550003.1000062</v>
      </c>
      <c r="E33" s="15">
        <f>+D33/144</f>
        <v>10763.910416709721</v>
      </c>
      <c r="F33" s="15">
        <f>+E33/9</f>
        <v>1195.9900463010802</v>
      </c>
      <c r="G33" s="15">
        <f>+B33*10000</f>
        <v>10000000</v>
      </c>
      <c r="H33" s="15">
        <f>+B33</f>
        <v>1000</v>
      </c>
    </row>
    <row r="35" ht="15">
      <c r="B35" s="20" t="s">
        <v>31</v>
      </c>
    </row>
    <row r="36" spans="2:8" ht="15.75" thickBot="1">
      <c r="B36" s="3" t="s">
        <v>0</v>
      </c>
      <c r="C36" s="8" t="s">
        <v>1</v>
      </c>
      <c r="D36" s="2" t="s">
        <v>32</v>
      </c>
      <c r="E36" s="1" t="s">
        <v>33</v>
      </c>
      <c r="F36" s="1" t="s">
        <v>34</v>
      </c>
      <c r="G36" s="1" t="s">
        <v>35</v>
      </c>
      <c r="H36" s="1" t="s">
        <v>36</v>
      </c>
    </row>
    <row r="37" spans="2:8" ht="15.75" thickTop="1">
      <c r="B37" s="43">
        <v>700</v>
      </c>
      <c r="C37" s="6" t="s">
        <v>32</v>
      </c>
      <c r="D37" s="12">
        <f>+B37</f>
        <v>700</v>
      </c>
      <c r="E37" s="13">
        <f>+B37/1728</f>
        <v>0.4050925925925926</v>
      </c>
      <c r="F37" s="13">
        <f>+E37/27</f>
        <v>0.015003429355281208</v>
      </c>
      <c r="G37" s="13">
        <f>+B37*16.3871</f>
        <v>11470.97</v>
      </c>
      <c r="H37" s="13">
        <f>+G37/1000000</f>
        <v>0.011470969999999999</v>
      </c>
    </row>
    <row r="38" spans="2:8" ht="15">
      <c r="B38" s="44">
        <v>27</v>
      </c>
      <c r="C38" s="7" t="s">
        <v>33</v>
      </c>
      <c r="D38" s="14">
        <f>+B38*1728</f>
        <v>46656</v>
      </c>
      <c r="E38" s="15">
        <f>+B38</f>
        <v>27</v>
      </c>
      <c r="F38" s="15">
        <f>+B38/27</f>
        <v>1</v>
      </c>
      <c r="G38" s="15">
        <f>+B38*1728*6.4516</f>
        <v>301005.8496</v>
      </c>
      <c r="H38" s="15">
        <f>+G38/1000000</f>
        <v>0.30100584960000004</v>
      </c>
    </row>
    <row r="39" spans="2:8" ht="15">
      <c r="B39" s="44">
        <v>35</v>
      </c>
      <c r="C39" s="7" t="s">
        <v>34</v>
      </c>
      <c r="D39" s="14">
        <f>+B39*9*1728</f>
        <v>544320</v>
      </c>
      <c r="E39" s="15">
        <f>+B39*27</f>
        <v>945</v>
      </c>
      <c r="F39" s="15">
        <f>+B39</f>
        <v>35</v>
      </c>
      <c r="G39" s="15">
        <f>+D39*6.4516</f>
        <v>3511734.912</v>
      </c>
      <c r="H39" s="15">
        <f>+G39/1000000</f>
        <v>3.511734912</v>
      </c>
    </row>
    <row r="40" spans="2:8" ht="15">
      <c r="B40" s="44">
        <v>32567</v>
      </c>
      <c r="C40" s="24" t="s">
        <v>35</v>
      </c>
      <c r="D40" s="14">
        <f>+B40/6.4516</f>
        <v>5047.895095790192</v>
      </c>
      <c r="E40" s="15">
        <f>+D39/1728</f>
        <v>315</v>
      </c>
      <c r="F40" s="15">
        <f>+E40/27</f>
        <v>11.666666666666666</v>
      </c>
      <c r="G40" s="15">
        <f>+B40</f>
        <v>32567</v>
      </c>
      <c r="H40" s="15">
        <f>+G40/1000000</f>
        <v>0.032567</v>
      </c>
    </row>
    <row r="41" spans="2:8" ht="15">
      <c r="B41" s="44">
        <v>58</v>
      </c>
      <c r="C41" s="7" t="s">
        <v>36</v>
      </c>
      <c r="D41" s="14">
        <f>+(B41*1000000)/6.4516</f>
        <v>8990017.98003596</v>
      </c>
      <c r="E41" s="15">
        <f>+D41/1728</f>
        <v>5202.5567014097</v>
      </c>
      <c r="F41" s="15">
        <f>+E41/27</f>
        <v>192.68728523739628</v>
      </c>
      <c r="G41" s="15">
        <f>+B41*1000000</f>
        <v>58000000</v>
      </c>
      <c r="H41" s="15">
        <f>+B41</f>
        <v>58</v>
      </c>
    </row>
  </sheetData>
  <sheetProtection password="C74E" sheet="1"/>
  <printOptions/>
  <pageMargins left="0.25" right="0.25" top="0.75" bottom="0.75" header="0.3" footer="0.3"/>
  <pageSetup fitToHeight="1" fitToWidth="1" horizontalDpi="1200" verticalDpi="1200" orientation="landscape"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6" t="s">
        <v>37</v>
      </c>
      <c r="C1" s="27"/>
      <c r="D1" s="32"/>
      <c r="E1" s="32"/>
    </row>
    <row r="2" spans="2:5" ht="15">
      <c r="B2" s="26" t="s">
        <v>38</v>
      </c>
      <c r="C2" s="27"/>
      <c r="D2" s="32"/>
      <c r="E2" s="32"/>
    </row>
    <row r="3" spans="2:5" ht="15">
      <c r="B3" s="28"/>
      <c r="C3" s="28"/>
      <c r="D3" s="33"/>
      <c r="E3" s="33"/>
    </row>
    <row r="4" spans="2:5" ht="45">
      <c r="B4" s="29" t="s">
        <v>39</v>
      </c>
      <c r="C4" s="28"/>
      <c r="D4" s="33"/>
      <c r="E4" s="33"/>
    </row>
    <row r="5" spans="2:5" ht="15">
      <c r="B5" s="28"/>
      <c r="C5" s="28"/>
      <c r="D5" s="33"/>
      <c r="E5" s="33"/>
    </row>
    <row r="6" spans="2:5" ht="15">
      <c r="B6" s="26" t="s">
        <v>40</v>
      </c>
      <c r="C6" s="27"/>
      <c r="D6" s="32"/>
      <c r="E6" s="34" t="s">
        <v>41</v>
      </c>
    </row>
    <row r="7" spans="2:5" ht="15.75" thickBot="1">
      <c r="B7" s="28"/>
      <c r="C7" s="28"/>
      <c r="D7" s="33"/>
      <c r="E7" s="33"/>
    </row>
    <row r="8" spans="2:5" ht="45.75" thickBot="1">
      <c r="B8" s="30" t="s">
        <v>42</v>
      </c>
      <c r="C8" s="31"/>
      <c r="D8" s="35"/>
      <c r="E8" s="36">
        <v>2</v>
      </c>
    </row>
    <row r="9" spans="2:5" ht="15">
      <c r="B9" s="28"/>
      <c r="C9" s="28"/>
      <c r="D9" s="33"/>
      <c r="E9" s="33"/>
    </row>
    <row r="10" spans="2:5" ht="15">
      <c r="B10" s="28"/>
      <c r="C10" s="28"/>
      <c r="D10" s="33"/>
      <c r="E10" s="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FresenburgB</dc:creator>
  <cp:keywords/>
  <dc:description/>
  <cp:lastModifiedBy>FresenburgB</cp:lastModifiedBy>
  <cp:lastPrinted>2007-12-04T21:03:57Z</cp:lastPrinted>
  <dcterms:created xsi:type="dcterms:W3CDTF">2007-11-15T13:59:46Z</dcterms:created>
  <dcterms:modified xsi:type="dcterms:W3CDTF">2007-12-05T16:17:55Z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